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8.xml" ContentType="application/vnd.openxmlformats-officedocument.spreadsheetml.pivotTab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9.xml" ContentType="application/vnd.openxmlformats-officedocument.spreadsheetml.pivotTab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0.xml" ContentType="application/vnd.openxmlformats-officedocument.spreadsheetml.pivotTab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pivotTables/pivotTable11.xml" ContentType="application/vnd.openxmlformats-officedocument.spreadsheetml.pivotTab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pivotTables/pivotTable12.xml" ContentType="application/vnd.openxmlformats-officedocument.spreadsheetml.pivotTab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isepipp-my.sharepoint.com/personal/prjaa_isep_ipp_pt/Documents/GECAD/GrouPlanner/Publicacoes/Revistas/IEEE-TAC/Apendices/"/>
    </mc:Choice>
  </mc:AlternateContent>
  <xr:revisionPtr revIDLastSave="439" documentId="8_{34D0FA4A-FFF4-4A6C-BC75-C493AEB242C2}" xr6:coauthVersionLast="47" xr6:coauthVersionMax="47" xr10:uidLastSave="{912C663F-9916-44C5-B626-A11F5EAC69E8}"/>
  <bookViews>
    <workbookView xWindow="-108" yWindow="-108" windowWidth="23256" windowHeight="12456" xr2:uid="{E16F4199-9CF4-430E-A96E-7806CB610F16}"/>
  </bookViews>
  <sheets>
    <sheet name="Dataset-PT" sheetId="1" r:id="rId1"/>
    <sheet name="WW-Time" sheetId="17" r:id="rId2"/>
    <sheet name="WW-HardPathsC6" sheetId="10" r:id="rId3"/>
    <sheet name="WW-HardPathsN2" sheetId="11" r:id="rId4"/>
    <sheet name="WW-HardPathA5" sheetId="12" r:id="rId5"/>
    <sheet name="WW-GaveUpHardPath" sheetId="8" r:id="rId6"/>
    <sheet name="WW-traps" sheetId="9" r:id="rId7"/>
    <sheet name="TT-Anger" sheetId="2" r:id="rId8"/>
    <sheet name="TT-Friendliness" sheetId="3" r:id="rId9"/>
    <sheet name="TT-Excitement seeking" sheetId="4" r:id="rId10"/>
    <sheet name="TT-Cheerfulness" sheetId="5" r:id="rId11"/>
    <sheet name="TT-Adventurouness" sheetId="6" r:id="rId12"/>
    <sheet name="TT-Achievement striving" sheetId="7" r:id="rId13"/>
    <sheet name="TT-2attempts" sheetId="13" r:id="rId14"/>
  </sheets>
  <calcPr calcId="191029"/>
  <pivotCaches>
    <pivotCache cacheId="1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K3" i="1" l="1"/>
  <c r="CK4" i="1"/>
  <c r="CK5" i="1"/>
  <c r="CK6" i="1"/>
  <c r="CK8" i="1"/>
  <c r="CK10" i="1"/>
  <c r="CK13" i="1"/>
  <c r="CK14" i="1"/>
  <c r="CK15" i="1"/>
  <c r="CK17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3" i="1"/>
  <c r="CK44" i="1"/>
  <c r="CK45" i="1"/>
  <c r="CK46" i="1"/>
  <c r="CK47" i="1"/>
  <c r="CK48" i="1"/>
  <c r="CK49" i="1"/>
  <c r="CK50" i="1"/>
  <c r="CK51" i="1"/>
  <c r="CK52" i="1"/>
  <c r="CK53" i="1"/>
  <c r="CK54" i="1"/>
  <c r="CK59" i="1"/>
  <c r="CK60" i="1"/>
  <c r="CK61" i="1"/>
  <c r="CK62" i="1"/>
  <c r="CK63" i="1"/>
  <c r="CK64" i="1"/>
  <c r="CK65" i="1"/>
  <c r="CK66" i="1"/>
  <c r="CK67" i="1"/>
  <c r="CK68" i="1"/>
  <c r="CK69" i="1"/>
  <c r="CO101" i="1"/>
  <c r="CL101" i="1"/>
  <c r="BU101" i="1"/>
  <c r="BT101" i="1"/>
  <c r="BI101" i="1"/>
  <c r="BH101" i="1"/>
  <c r="AW101" i="1"/>
  <c r="AR101" i="1"/>
  <c r="AQ101" i="1"/>
  <c r="AP101" i="1"/>
  <c r="AN101" i="1"/>
  <c r="AM101" i="1"/>
  <c r="AL101" i="1"/>
  <c r="AF101" i="1"/>
  <c r="AE101" i="1"/>
  <c r="X101" i="1"/>
  <c r="W101" i="1"/>
  <c r="T101" i="1"/>
  <c r="R101" i="1"/>
  <c r="CO100" i="1"/>
  <c r="CL100" i="1"/>
  <c r="CG100" i="1"/>
  <c r="CF100" i="1"/>
  <c r="CE100" i="1"/>
  <c r="BU100" i="1"/>
  <c r="BT100" i="1"/>
  <c r="BM100" i="1"/>
  <c r="BL100" i="1"/>
  <c r="BB100" i="1"/>
  <c r="BA100" i="1"/>
  <c r="AN100" i="1"/>
  <c r="AM100" i="1"/>
  <c r="AL100" i="1"/>
  <c r="AF100" i="1"/>
  <c r="AE100" i="1"/>
  <c r="AC100" i="1"/>
  <c r="AA100" i="1"/>
  <c r="CO99" i="1"/>
  <c r="CL99" i="1"/>
  <c r="CG99" i="1"/>
  <c r="CF99" i="1"/>
  <c r="CE99" i="1"/>
  <c r="BU99" i="1"/>
  <c r="BT99" i="1"/>
  <c r="BM99" i="1"/>
  <c r="BL99" i="1"/>
  <c r="BJ99" i="1"/>
  <c r="BB99" i="1"/>
  <c r="BA99" i="1"/>
  <c r="AN99" i="1"/>
  <c r="AM99" i="1"/>
  <c r="AL99" i="1"/>
  <c r="AJ99" i="1"/>
  <c r="AF99" i="1"/>
  <c r="AE99" i="1"/>
  <c r="CO98" i="1"/>
  <c r="CL98" i="1"/>
  <c r="CG98" i="1"/>
  <c r="CF98" i="1"/>
  <c r="CE98" i="1"/>
  <c r="BY98" i="1"/>
  <c r="BU98" i="1"/>
  <c r="BT98" i="1"/>
  <c r="BM98" i="1"/>
  <c r="BL98" i="1"/>
  <c r="BB98" i="1"/>
  <c r="BA98" i="1"/>
  <c r="AR98" i="1"/>
  <c r="AQ98" i="1"/>
  <c r="AP98" i="1"/>
  <c r="AN98" i="1"/>
  <c r="AL98" i="1"/>
  <c r="AJ98" i="1"/>
  <c r="AF98" i="1"/>
  <c r="AE98" i="1"/>
  <c r="CO97" i="1"/>
  <c r="CL97" i="1"/>
  <c r="CG97" i="1"/>
  <c r="CF97" i="1"/>
  <c r="CE97" i="1"/>
  <c r="BU97" i="1"/>
  <c r="BT97" i="1"/>
  <c r="BM97" i="1"/>
  <c r="BL97" i="1"/>
  <c r="BB97" i="1"/>
  <c r="BA97" i="1"/>
  <c r="AY97" i="1"/>
  <c r="AW97" i="1"/>
  <c r="AN97" i="1"/>
  <c r="AM97" i="1"/>
  <c r="AL97" i="1"/>
  <c r="AF97" i="1"/>
  <c r="AE97" i="1"/>
  <c r="CO96" i="1"/>
  <c r="CL96" i="1"/>
  <c r="CG96" i="1"/>
  <c r="CF96" i="1"/>
  <c r="CE96" i="1"/>
  <c r="BU96" i="1"/>
  <c r="BT96" i="1"/>
  <c r="BM96" i="1"/>
  <c r="BL96" i="1"/>
  <c r="BB96" i="1"/>
  <c r="BA96" i="1"/>
  <c r="AR96" i="1"/>
  <c r="AQ96" i="1"/>
  <c r="AP96" i="1"/>
  <c r="AN96" i="1"/>
  <c r="AL96" i="1"/>
  <c r="AF96" i="1"/>
  <c r="AE96" i="1"/>
  <c r="AC96" i="1"/>
  <c r="AA96" i="1"/>
  <c r="CO95" i="1"/>
  <c r="CL95" i="1"/>
  <c r="CG95" i="1"/>
  <c r="CF95" i="1"/>
  <c r="CE95" i="1"/>
  <c r="BY95" i="1"/>
  <c r="BU95" i="1"/>
  <c r="BT95" i="1"/>
  <c r="BM95" i="1"/>
  <c r="BL95" i="1"/>
  <c r="BB95" i="1"/>
  <c r="BA95" i="1"/>
  <c r="AR95" i="1"/>
  <c r="AQ95" i="1"/>
  <c r="AP95" i="1"/>
  <c r="AN95" i="1"/>
  <c r="AL95" i="1"/>
  <c r="AF95" i="1"/>
  <c r="AE95" i="1"/>
  <c r="CO94" i="1"/>
  <c r="CL94" i="1"/>
  <c r="CG94" i="1"/>
  <c r="CF94" i="1"/>
  <c r="CE94" i="1"/>
  <c r="BU94" i="1"/>
  <c r="BT94" i="1"/>
  <c r="BM94" i="1"/>
  <c r="BL94" i="1"/>
  <c r="BB94" i="1"/>
  <c r="BA94" i="1"/>
  <c r="AN94" i="1"/>
  <c r="AM94" i="1"/>
  <c r="AL94" i="1"/>
  <c r="AF94" i="1"/>
  <c r="AE94" i="1"/>
  <c r="X94" i="1"/>
  <c r="W94" i="1"/>
  <c r="T94" i="1"/>
  <c r="R94" i="1"/>
  <c r="CO93" i="1"/>
  <c r="CL93" i="1"/>
  <c r="CJ93" i="1"/>
  <c r="CF93" i="1"/>
  <c r="CE93" i="1"/>
  <c r="CC93" i="1"/>
  <c r="BV93" i="1"/>
  <c r="BU93" i="1"/>
  <c r="BT93" i="1"/>
  <c r="BR93" i="1"/>
  <c r="BJ93" i="1"/>
  <c r="BI93" i="1"/>
  <c r="BH93" i="1"/>
  <c r="BB93" i="1"/>
  <c r="BA93" i="1"/>
  <c r="AR93" i="1"/>
  <c r="AQ93" i="1"/>
  <c r="AP93" i="1"/>
  <c r="AN93" i="1"/>
  <c r="AL93" i="1"/>
  <c r="AF93" i="1"/>
  <c r="AE93" i="1"/>
  <c r="CO92" i="1"/>
  <c r="CL92" i="1"/>
  <c r="CG92" i="1"/>
  <c r="CF92" i="1"/>
  <c r="CE92" i="1"/>
  <c r="BY92" i="1"/>
  <c r="BU92" i="1"/>
  <c r="BT92" i="1"/>
  <c r="BM92" i="1"/>
  <c r="BL92" i="1"/>
  <c r="BB92" i="1"/>
  <c r="BA92" i="1"/>
  <c r="AQ92" i="1"/>
  <c r="AP92" i="1"/>
  <c r="AN92" i="1"/>
  <c r="AL92" i="1"/>
  <c r="AF92" i="1"/>
  <c r="AE92" i="1"/>
  <c r="CO91" i="1"/>
  <c r="CL91" i="1"/>
  <c r="CG91" i="1"/>
  <c r="CF91" i="1"/>
  <c r="CE91" i="1"/>
  <c r="BU91" i="1"/>
  <c r="BT91" i="1"/>
  <c r="BN91" i="1"/>
  <c r="BM91" i="1"/>
  <c r="BL91" i="1"/>
  <c r="BB91" i="1"/>
  <c r="BA91" i="1"/>
  <c r="AY91" i="1"/>
  <c r="AR91" i="1"/>
  <c r="AQ91" i="1"/>
  <c r="AP91" i="1"/>
  <c r="AN91" i="1"/>
  <c r="AL91" i="1"/>
  <c r="AF91" i="1"/>
  <c r="AE91" i="1"/>
  <c r="CO90" i="1"/>
  <c r="CL90" i="1"/>
  <c r="CF90" i="1"/>
  <c r="CE90" i="1"/>
  <c r="BY90" i="1"/>
  <c r="BU90" i="1"/>
  <c r="BT90" i="1"/>
  <c r="BM90" i="1"/>
  <c r="BL90" i="1"/>
  <c r="BJ90" i="1"/>
  <c r="BB90" i="1"/>
  <c r="BA90" i="1"/>
  <c r="AY90" i="1"/>
  <c r="AQ90" i="1"/>
  <c r="AP90" i="1"/>
  <c r="AN90" i="1"/>
  <c r="AL90" i="1"/>
  <c r="AF90" i="1"/>
  <c r="AE90" i="1"/>
  <c r="AC90" i="1"/>
  <c r="AA90" i="1"/>
  <c r="CO89" i="1"/>
  <c r="CG89" i="1"/>
  <c r="CF89" i="1"/>
  <c r="CE89" i="1"/>
  <c r="BU89" i="1"/>
  <c r="BT89" i="1"/>
  <c r="BN89" i="1"/>
  <c r="BM89" i="1"/>
  <c r="BL89" i="1"/>
  <c r="BB89" i="1"/>
  <c r="BA89" i="1"/>
  <c r="AQ89" i="1"/>
  <c r="AP89" i="1"/>
  <c r="AF89" i="1"/>
  <c r="AE89" i="1"/>
  <c r="CO88" i="1"/>
  <c r="CL88" i="1"/>
  <c r="CG88" i="1"/>
  <c r="CF88" i="1"/>
  <c r="CE88" i="1"/>
  <c r="CC88" i="1"/>
  <c r="CA88" i="1"/>
  <c r="BU88" i="1"/>
  <c r="BT88" i="1"/>
  <c r="BN88" i="1"/>
  <c r="BM88" i="1"/>
  <c r="BL88" i="1"/>
  <c r="BB88" i="1"/>
  <c r="BA88" i="1"/>
  <c r="AQ88" i="1"/>
  <c r="AP88" i="1"/>
  <c r="AF88" i="1"/>
  <c r="AE88" i="1"/>
  <c r="CO87" i="1"/>
  <c r="CL87" i="1"/>
  <c r="CG87" i="1"/>
  <c r="CF87" i="1"/>
  <c r="CE87" i="1"/>
  <c r="BV87" i="1"/>
  <c r="BU87" i="1"/>
  <c r="BT87" i="1"/>
  <c r="BN87" i="1"/>
  <c r="BM87" i="1"/>
  <c r="BL87" i="1"/>
  <c r="BB87" i="1"/>
  <c r="BA87" i="1"/>
  <c r="AR87" i="1"/>
  <c r="AQ87" i="1"/>
  <c r="AP87" i="1"/>
  <c r="AN87" i="1"/>
  <c r="AL87" i="1"/>
  <c r="AF87" i="1"/>
  <c r="AE87" i="1"/>
  <c r="CO86" i="1"/>
  <c r="CL86" i="1"/>
  <c r="CG86" i="1"/>
  <c r="CF86" i="1"/>
  <c r="CE86" i="1"/>
  <c r="BU86" i="1"/>
  <c r="BT86" i="1"/>
  <c r="BM86" i="1"/>
  <c r="BL86" i="1"/>
  <c r="BB86" i="1"/>
  <c r="BA86" i="1"/>
  <c r="AR86" i="1"/>
  <c r="AQ86" i="1"/>
  <c r="AP86" i="1"/>
  <c r="AJ86" i="1"/>
  <c r="AG86" i="1"/>
  <c r="AF86" i="1"/>
  <c r="AE86" i="1"/>
  <c r="Y86" i="1"/>
  <c r="W86" i="1"/>
  <c r="CO85" i="1"/>
  <c r="CL85" i="1"/>
  <c r="CG85" i="1"/>
  <c r="CF85" i="1"/>
  <c r="CE85" i="1"/>
  <c r="BU85" i="1"/>
  <c r="BT85" i="1"/>
  <c r="BN85" i="1"/>
  <c r="BM85" i="1"/>
  <c r="BL85" i="1"/>
  <c r="BB85" i="1"/>
  <c r="BA85" i="1"/>
  <c r="AN85" i="1"/>
  <c r="AM85" i="1"/>
  <c r="AL85" i="1"/>
  <c r="AF85" i="1"/>
  <c r="AE85" i="1"/>
  <c r="AC85" i="1"/>
  <c r="CO84" i="1"/>
  <c r="CL84" i="1"/>
  <c r="CG84" i="1"/>
  <c r="CF84" i="1"/>
  <c r="CE84" i="1"/>
  <c r="CC84" i="1"/>
  <c r="CA84" i="1"/>
  <c r="BU84" i="1"/>
  <c r="BT84" i="1"/>
  <c r="BM84" i="1"/>
  <c r="BL84" i="1"/>
  <c r="BC84" i="1"/>
  <c r="BB84" i="1"/>
  <c r="BA84" i="1"/>
  <c r="AR84" i="1"/>
  <c r="AQ84" i="1"/>
  <c r="AP84" i="1"/>
  <c r="AN84" i="1"/>
  <c r="AL84" i="1"/>
  <c r="AF84" i="1"/>
  <c r="AE84" i="1"/>
  <c r="CO83" i="1"/>
  <c r="CL83" i="1"/>
  <c r="CJ83" i="1"/>
  <c r="CG83" i="1"/>
  <c r="CF83" i="1"/>
  <c r="CE83" i="1"/>
  <c r="BU83" i="1"/>
  <c r="BT83" i="1"/>
  <c r="BN83" i="1"/>
  <c r="BM83" i="1"/>
  <c r="BL83" i="1"/>
  <c r="BC83" i="1"/>
  <c r="BB83" i="1"/>
  <c r="BA83" i="1"/>
  <c r="AR83" i="1"/>
  <c r="AQ83" i="1"/>
  <c r="AP83" i="1"/>
  <c r="AN83" i="1"/>
  <c r="AL83" i="1"/>
  <c r="AF83" i="1"/>
  <c r="AE83" i="1"/>
  <c r="AC83" i="1"/>
  <c r="AA83" i="1"/>
  <c r="CO82" i="1"/>
  <c r="CL82" i="1"/>
  <c r="CG82" i="1"/>
  <c r="CF82" i="1"/>
  <c r="CE82" i="1"/>
  <c r="BY82" i="1"/>
  <c r="BU82" i="1"/>
  <c r="BT82" i="1"/>
  <c r="BN82" i="1"/>
  <c r="BM82" i="1"/>
  <c r="BL82" i="1"/>
  <c r="BJ82" i="1"/>
  <c r="BH82" i="1"/>
  <c r="BB82" i="1"/>
  <c r="BA82" i="1"/>
  <c r="AY82" i="1"/>
  <c r="AW82" i="1"/>
  <c r="AR82" i="1"/>
  <c r="AQ82" i="1"/>
  <c r="AP82" i="1"/>
  <c r="AN82" i="1"/>
  <c r="AL82" i="1"/>
  <c r="AF82" i="1"/>
  <c r="AE82" i="1"/>
  <c r="X82" i="1"/>
  <c r="W82" i="1"/>
  <c r="Q82" i="1"/>
  <c r="P82" i="1"/>
  <c r="O82" i="1"/>
  <c r="CO81" i="1"/>
  <c r="CL81" i="1"/>
  <c r="CG81" i="1"/>
  <c r="CF81" i="1"/>
  <c r="CE81" i="1"/>
  <c r="BY81" i="1"/>
  <c r="BV81" i="1"/>
  <c r="BU81" i="1"/>
  <c r="BT81" i="1"/>
  <c r="BN81" i="1"/>
  <c r="BM81" i="1"/>
  <c r="BL81" i="1"/>
  <c r="BC81" i="1"/>
  <c r="BB81" i="1"/>
  <c r="BA81" i="1"/>
  <c r="AR81" i="1"/>
  <c r="AQ81" i="1"/>
  <c r="AP81" i="1"/>
  <c r="AN81" i="1"/>
  <c r="AL81" i="1"/>
  <c r="AF81" i="1"/>
  <c r="AE81" i="1"/>
  <c r="AC81" i="1"/>
  <c r="AA81" i="1"/>
  <c r="CO80" i="1"/>
  <c r="CL80" i="1"/>
  <c r="CJ80" i="1"/>
  <c r="CG80" i="1"/>
  <c r="CF80" i="1"/>
  <c r="CE80" i="1"/>
  <c r="BV80" i="1"/>
  <c r="BU80" i="1"/>
  <c r="BT80" i="1"/>
  <c r="BM80" i="1"/>
  <c r="BL80" i="1"/>
  <c r="BJ80" i="1"/>
  <c r="BH80" i="1"/>
  <c r="BC80" i="1"/>
  <c r="BB80" i="1"/>
  <c r="BA80" i="1"/>
  <c r="AR80" i="1"/>
  <c r="AQ80" i="1"/>
  <c r="AP80" i="1"/>
  <c r="AN80" i="1"/>
  <c r="AL80" i="1"/>
  <c r="AJ80" i="1"/>
  <c r="AF80" i="1"/>
  <c r="AE80" i="1"/>
  <c r="Y80" i="1"/>
  <c r="W80" i="1"/>
  <c r="CO79" i="1"/>
  <c r="CL79" i="1"/>
  <c r="CC79" i="1"/>
  <c r="CB79" i="1"/>
  <c r="CA79" i="1"/>
  <c r="BV79" i="1"/>
  <c r="BU79" i="1"/>
  <c r="BT79" i="1"/>
  <c r="BN79" i="1"/>
  <c r="BM79" i="1"/>
  <c r="BL79" i="1"/>
  <c r="AY79" i="1"/>
  <c r="AX79" i="1"/>
  <c r="AW79" i="1"/>
  <c r="AR79" i="1"/>
  <c r="AQ79" i="1"/>
  <c r="AP79" i="1"/>
  <c r="AJ79" i="1"/>
  <c r="AC79" i="1"/>
  <c r="AB79" i="1"/>
  <c r="AA79" i="1"/>
  <c r="X79" i="1"/>
  <c r="U79" i="1"/>
  <c r="T79" i="1"/>
  <c r="R79" i="1"/>
  <c r="CO78" i="1"/>
  <c r="CL78" i="1"/>
  <c r="CJ78" i="1"/>
  <c r="CG78" i="1"/>
  <c r="CF78" i="1"/>
  <c r="CE78" i="1"/>
  <c r="BU78" i="1"/>
  <c r="BT78" i="1"/>
  <c r="BN78" i="1"/>
  <c r="BM78" i="1"/>
  <c r="BL78" i="1"/>
  <c r="BF78" i="1"/>
  <c r="BB78" i="1"/>
  <c r="BA78" i="1"/>
  <c r="AN78" i="1"/>
  <c r="AM78" i="1"/>
  <c r="AL78" i="1"/>
  <c r="AF78" i="1"/>
  <c r="AE78" i="1"/>
  <c r="CO77" i="1"/>
  <c r="CL77" i="1"/>
  <c r="CG77" i="1"/>
  <c r="CF77" i="1"/>
  <c r="CE77" i="1"/>
  <c r="CC77" i="1"/>
  <c r="CA77" i="1"/>
  <c r="BU77" i="1"/>
  <c r="BT77" i="1"/>
  <c r="BM77" i="1"/>
  <c r="BL77" i="1"/>
  <c r="BB77" i="1"/>
  <c r="BA77" i="1"/>
  <c r="AZ77" i="1"/>
  <c r="AY77" i="1"/>
  <c r="AW77" i="1"/>
  <c r="AN77" i="1"/>
  <c r="AM77" i="1"/>
  <c r="AL77" i="1"/>
  <c r="AG77" i="1"/>
  <c r="AF77" i="1"/>
  <c r="AE77" i="1"/>
  <c r="AC77" i="1"/>
  <c r="AA77" i="1"/>
  <c r="CO76" i="1"/>
  <c r="CL76" i="1"/>
  <c r="CG76" i="1"/>
  <c r="CF76" i="1"/>
  <c r="CE76" i="1"/>
  <c r="BU76" i="1"/>
  <c r="BT76" i="1"/>
  <c r="BM76" i="1"/>
  <c r="BL76" i="1"/>
  <c r="BJ76" i="1"/>
  <c r="BB76" i="1"/>
  <c r="BA76" i="1"/>
  <c r="AR76" i="1"/>
  <c r="AQ76" i="1"/>
  <c r="AP76" i="1"/>
  <c r="AJ76" i="1"/>
  <c r="AC76" i="1"/>
  <c r="AB76" i="1"/>
  <c r="AA76" i="1"/>
  <c r="X76" i="1"/>
  <c r="T76" i="1"/>
  <c r="R76" i="1"/>
  <c r="CO75" i="1"/>
  <c r="CL75" i="1"/>
  <c r="CG75" i="1"/>
  <c r="CF75" i="1"/>
  <c r="CE75" i="1"/>
  <c r="BU75" i="1"/>
  <c r="BT75" i="1"/>
  <c r="BM75" i="1"/>
  <c r="BL75" i="1"/>
  <c r="BB75" i="1"/>
  <c r="BA75" i="1"/>
  <c r="AR75" i="1"/>
  <c r="AQ75" i="1"/>
  <c r="AP75" i="1"/>
  <c r="AF75" i="1"/>
  <c r="AE75" i="1"/>
  <c r="AC75" i="1"/>
  <c r="CO74" i="1"/>
  <c r="CL74" i="1"/>
  <c r="CG74" i="1"/>
  <c r="CF74" i="1"/>
  <c r="CE74" i="1"/>
  <c r="BV74" i="1"/>
  <c r="BU74" i="1"/>
  <c r="BT74" i="1"/>
  <c r="BM74" i="1"/>
  <c r="BL74" i="1"/>
  <c r="BB74" i="1"/>
  <c r="BA74" i="1"/>
  <c r="AR74" i="1"/>
  <c r="AQ74" i="1"/>
  <c r="AP74" i="1"/>
  <c r="AF74" i="1"/>
  <c r="AE74" i="1"/>
  <c r="AC74" i="1"/>
  <c r="AA74" i="1"/>
  <c r="Y74" i="1"/>
  <c r="X74" i="1"/>
  <c r="W74" i="1"/>
  <c r="T74" i="1"/>
  <c r="R74" i="1"/>
  <c r="CO73" i="1"/>
  <c r="CJ73" i="1"/>
  <c r="CG73" i="1"/>
  <c r="CF73" i="1"/>
  <c r="CE73" i="1"/>
  <c r="BU73" i="1"/>
  <c r="BT73" i="1"/>
  <c r="BN73" i="1"/>
  <c r="BM73" i="1"/>
  <c r="BL73" i="1"/>
  <c r="BB73" i="1"/>
  <c r="BA73" i="1"/>
  <c r="AR73" i="1"/>
  <c r="AQ73" i="1"/>
  <c r="AP73" i="1"/>
  <c r="AF73" i="1"/>
  <c r="AE73" i="1"/>
  <c r="CO72" i="1"/>
  <c r="CL72" i="1"/>
  <c r="CG72" i="1"/>
  <c r="CF72" i="1"/>
  <c r="CE72" i="1"/>
  <c r="BU72" i="1"/>
  <c r="BT72" i="1"/>
  <c r="BR72" i="1"/>
  <c r="BN72" i="1"/>
  <c r="BM72" i="1"/>
  <c r="BL72" i="1"/>
  <c r="BC72" i="1"/>
  <c r="BB72" i="1"/>
  <c r="BA72" i="1"/>
  <c r="AR72" i="1"/>
  <c r="AQ72" i="1"/>
  <c r="AP72" i="1"/>
  <c r="AN72" i="1"/>
  <c r="AL72" i="1"/>
  <c r="AJ72" i="1"/>
  <c r="AF72" i="1"/>
  <c r="AE72" i="1"/>
  <c r="CO71" i="1"/>
  <c r="CL71" i="1"/>
  <c r="CG71" i="1"/>
  <c r="CF71" i="1"/>
  <c r="CE71" i="1"/>
  <c r="BY71" i="1"/>
  <c r="BU71" i="1"/>
  <c r="BT71" i="1"/>
  <c r="BN71" i="1"/>
  <c r="BM71" i="1"/>
  <c r="BL71" i="1"/>
  <c r="BF71" i="1"/>
  <c r="BB71" i="1"/>
  <c r="BA71" i="1"/>
  <c r="AQ71" i="1"/>
  <c r="AP71" i="1"/>
  <c r="AN71" i="1"/>
  <c r="AL71" i="1"/>
  <c r="AJ71" i="1"/>
  <c r="AF71" i="1"/>
  <c r="AE71" i="1"/>
  <c r="AC71" i="1"/>
  <c r="CO70" i="1"/>
  <c r="CL70" i="1"/>
  <c r="CG70" i="1"/>
  <c r="CF70" i="1"/>
  <c r="CE70" i="1"/>
  <c r="CC70" i="1"/>
  <c r="CA70" i="1"/>
  <c r="BU70" i="1"/>
  <c r="BT70" i="1"/>
  <c r="BM70" i="1"/>
  <c r="BL70" i="1"/>
  <c r="BB70" i="1"/>
  <c r="BA70" i="1"/>
  <c r="AN70" i="1"/>
  <c r="AM70" i="1"/>
  <c r="AL70" i="1"/>
  <c r="AJ70" i="1"/>
  <c r="AF70" i="1"/>
  <c r="AE70" i="1"/>
  <c r="AC70" i="1"/>
  <c r="AB70" i="1"/>
  <c r="AA70" i="1"/>
  <c r="Y70" i="1"/>
  <c r="W70" i="1"/>
  <c r="CO69" i="1"/>
  <c r="CL69" i="1"/>
  <c r="CE69" i="1"/>
  <c r="BT69" i="1"/>
  <c r="BH69" i="1"/>
  <c r="BF69" i="1"/>
  <c r="AW69" i="1"/>
  <c r="AL69" i="1"/>
  <c r="AE69" i="1"/>
  <c r="W69" i="1"/>
  <c r="R69" i="1"/>
  <c r="CO68" i="1"/>
  <c r="CL68" i="1"/>
  <c r="CE68" i="1"/>
  <c r="BY68" i="1"/>
  <c r="BV68" i="1"/>
  <c r="BT68" i="1"/>
  <c r="BL68" i="1"/>
  <c r="BC68" i="1"/>
  <c r="BA68" i="1"/>
  <c r="AL68" i="1"/>
  <c r="AJ68" i="1"/>
  <c r="AI68" i="1"/>
  <c r="AE68" i="1"/>
  <c r="AA68" i="1"/>
  <c r="CO67" i="1"/>
  <c r="CL67" i="1"/>
  <c r="CE67" i="1"/>
  <c r="BV67" i="1"/>
  <c r="BT67" i="1"/>
  <c r="BL67" i="1"/>
  <c r="BA67" i="1"/>
  <c r="AP67" i="1"/>
  <c r="AN67" i="1"/>
  <c r="AL67" i="1"/>
  <c r="AK67" i="1"/>
  <c r="AJ67" i="1"/>
  <c r="AC67" i="1"/>
  <c r="AA67" i="1"/>
  <c r="CO66" i="1"/>
  <c r="CL66" i="1"/>
  <c r="CA66" i="1"/>
  <c r="BP66" i="1"/>
  <c r="BH66" i="1"/>
  <c r="BF66" i="1"/>
  <c r="AW66" i="1"/>
  <c r="AN66" i="1"/>
  <c r="AL66" i="1"/>
  <c r="AJ66" i="1"/>
  <c r="AE66" i="1"/>
  <c r="AC66" i="1"/>
  <c r="AA66" i="1"/>
  <c r="W66" i="1"/>
  <c r="V66" i="1"/>
  <c r="S66" i="1"/>
  <c r="R66" i="1"/>
  <c r="CO65" i="1"/>
  <c r="CL65" i="1"/>
  <c r="CE65" i="1"/>
  <c r="CC65" i="1"/>
  <c r="CA65" i="1"/>
  <c r="BT65" i="1"/>
  <c r="BN65" i="1"/>
  <c r="BL65" i="1"/>
  <c r="BH65" i="1"/>
  <c r="BC65" i="1"/>
  <c r="BA65" i="1"/>
  <c r="AP65" i="1"/>
  <c r="AN65" i="1"/>
  <c r="AL65" i="1"/>
  <c r="AJ65" i="1"/>
  <c r="AG65" i="1"/>
  <c r="AE65" i="1"/>
  <c r="CO64" i="1"/>
  <c r="CL64" i="1"/>
  <c r="CE64" i="1"/>
  <c r="BV64" i="1"/>
  <c r="BT64" i="1"/>
  <c r="BN64" i="1"/>
  <c r="BL64" i="1"/>
  <c r="BC64" i="1"/>
  <c r="BA64" i="1"/>
  <c r="AP64" i="1"/>
  <c r="AL64" i="1"/>
  <c r="AE64" i="1"/>
  <c r="CO63" i="1"/>
  <c r="CL63" i="1"/>
  <c r="CE63" i="1"/>
  <c r="BY63" i="1"/>
  <c r="BT63" i="1"/>
  <c r="BL63" i="1"/>
  <c r="BA63" i="1"/>
  <c r="AY63" i="1"/>
  <c r="AL63" i="1"/>
  <c r="AG63" i="1"/>
  <c r="AE63" i="1"/>
  <c r="AC63" i="1"/>
  <c r="AA63" i="1"/>
  <c r="CO62" i="1"/>
  <c r="CL62" i="1"/>
  <c r="CE62" i="1"/>
  <c r="BY62" i="1"/>
  <c r="BT62" i="1"/>
  <c r="BL62" i="1"/>
  <c r="BD62" i="1"/>
  <c r="BC62" i="1"/>
  <c r="BA62" i="1"/>
  <c r="AP62" i="1"/>
  <c r="AE62" i="1"/>
  <c r="AC62" i="1"/>
  <c r="CO61" i="1"/>
  <c r="CE61" i="1"/>
  <c r="BT61" i="1"/>
  <c r="BL61" i="1"/>
  <c r="BA61" i="1"/>
  <c r="AP61" i="1"/>
  <c r="AJ61" i="1"/>
  <c r="AE61" i="1"/>
  <c r="CO60" i="1"/>
  <c r="CL60" i="1"/>
  <c r="CE60" i="1"/>
  <c r="BT60" i="1"/>
  <c r="BL60" i="1"/>
  <c r="BA60" i="1"/>
  <c r="AL60" i="1"/>
  <c r="AE60" i="1"/>
  <c r="CO59" i="1"/>
  <c r="CL59" i="1"/>
  <c r="CJ59" i="1"/>
  <c r="CG59" i="1"/>
  <c r="CE59" i="1"/>
  <c r="CA59" i="1"/>
  <c r="BZ59" i="1"/>
  <c r="BT59" i="1"/>
  <c r="BH59" i="1"/>
  <c r="BF59" i="1"/>
  <c r="AW59" i="1"/>
  <c r="AL59" i="1"/>
  <c r="AA59" i="1"/>
  <c r="W59" i="1"/>
  <c r="O59" i="1"/>
  <c r="CO58" i="1"/>
  <c r="CL58" i="1"/>
  <c r="CJ58" i="1"/>
  <c r="CG58" i="1"/>
  <c r="CF58" i="1"/>
  <c r="CE58" i="1"/>
  <c r="CC58" i="1"/>
  <c r="CB58" i="1"/>
  <c r="CA58" i="1"/>
  <c r="BU58" i="1"/>
  <c r="BT58" i="1"/>
  <c r="BJ58" i="1"/>
  <c r="BI58" i="1"/>
  <c r="BH58" i="1"/>
  <c r="BF58" i="1"/>
  <c r="BB58" i="1"/>
  <c r="BA58" i="1"/>
  <c r="AY58" i="1"/>
  <c r="AW58" i="1"/>
  <c r="AN58" i="1"/>
  <c r="AM58" i="1"/>
  <c r="AL58" i="1"/>
  <c r="AJ58" i="1"/>
  <c r="AF58" i="1"/>
  <c r="AE58" i="1"/>
  <c r="AC58" i="1"/>
  <c r="AB58" i="1"/>
  <c r="AA58" i="1"/>
  <c r="Y58" i="1"/>
  <c r="X58" i="1"/>
  <c r="W58" i="1"/>
  <c r="T58" i="1"/>
  <c r="R58" i="1"/>
  <c r="CO57" i="1"/>
  <c r="CL57" i="1"/>
  <c r="CG57" i="1"/>
  <c r="CF57" i="1"/>
  <c r="CE57" i="1"/>
  <c r="BU57" i="1"/>
  <c r="BT57" i="1"/>
  <c r="BJ57" i="1"/>
  <c r="BI57" i="1"/>
  <c r="BH57" i="1"/>
  <c r="BC57" i="1"/>
  <c r="BB57" i="1"/>
  <c r="BA57" i="1"/>
  <c r="AN57" i="1"/>
  <c r="AM57" i="1"/>
  <c r="AL57" i="1"/>
  <c r="AF57" i="1"/>
  <c r="AE57" i="1"/>
  <c r="X57" i="1"/>
  <c r="U57" i="1"/>
  <c r="T57" i="1"/>
  <c r="R57" i="1"/>
  <c r="CO56" i="1"/>
  <c r="CL56" i="1"/>
  <c r="CJ56" i="1"/>
  <c r="CG56" i="1"/>
  <c r="CF56" i="1"/>
  <c r="CE56" i="1"/>
  <c r="CC56" i="1"/>
  <c r="CB56" i="1"/>
  <c r="CA56" i="1"/>
  <c r="BU56" i="1"/>
  <c r="BT56" i="1"/>
  <c r="BI56" i="1"/>
  <c r="BH56" i="1"/>
  <c r="AY56" i="1"/>
  <c r="AX56" i="1"/>
  <c r="AW56" i="1"/>
  <c r="AV56" i="1"/>
  <c r="AN56" i="1"/>
  <c r="AM56" i="1"/>
  <c r="AL56" i="1"/>
  <c r="AJ56" i="1"/>
  <c r="AF56" i="1"/>
  <c r="AE56" i="1"/>
  <c r="AC56" i="1"/>
  <c r="AB56" i="1"/>
  <c r="AA56" i="1"/>
  <c r="Y56" i="1"/>
  <c r="X56" i="1"/>
  <c r="W56" i="1"/>
  <c r="T56" i="1"/>
  <c r="R56" i="1"/>
  <c r="CO55" i="1"/>
  <c r="CL55" i="1"/>
  <c r="CJ55" i="1"/>
  <c r="CG55" i="1"/>
  <c r="CF55" i="1"/>
  <c r="CE55" i="1"/>
  <c r="CC55" i="1"/>
  <c r="BU55" i="1"/>
  <c r="BT55" i="1"/>
  <c r="BN55" i="1"/>
  <c r="BM55" i="1"/>
  <c r="BL55" i="1"/>
  <c r="BJ55" i="1"/>
  <c r="BB55" i="1"/>
  <c r="BA55" i="1"/>
  <c r="AR55" i="1"/>
  <c r="AQ55" i="1"/>
  <c r="AP55" i="1"/>
  <c r="AN55" i="1"/>
  <c r="AL55" i="1"/>
  <c r="AJ55" i="1"/>
  <c r="AI55" i="1"/>
  <c r="AH55" i="1"/>
  <c r="AG55" i="1"/>
  <c r="AF55" i="1"/>
  <c r="AE55" i="1"/>
  <c r="AC55" i="1"/>
  <c r="AB55" i="1"/>
  <c r="AA55" i="1"/>
  <c r="Y55" i="1"/>
  <c r="X55" i="1"/>
  <c r="W55" i="1"/>
  <c r="V55" i="1"/>
  <c r="T55" i="1"/>
  <c r="S55" i="1"/>
  <c r="R55" i="1"/>
  <c r="CO53" i="1"/>
  <c r="CL53" i="1"/>
  <c r="CE53" i="1"/>
  <c r="BT53" i="1"/>
  <c r="BJ53" i="1"/>
  <c r="BH53" i="1"/>
  <c r="BC53" i="1"/>
  <c r="BA53" i="1"/>
  <c r="AP53" i="1"/>
  <c r="AO53" i="1"/>
  <c r="AN53" i="1"/>
  <c r="AL53" i="1"/>
  <c r="AJ53" i="1"/>
  <c r="AG53" i="1"/>
  <c r="AE53" i="1"/>
  <c r="CO52" i="1"/>
  <c r="CL52" i="1"/>
  <c r="CG52" i="1"/>
  <c r="CE52" i="1"/>
  <c r="CC52" i="1"/>
  <c r="CA52" i="1"/>
  <c r="BT52" i="1"/>
  <c r="BN52" i="1"/>
  <c r="BL52" i="1"/>
  <c r="BA52" i="1"/>
  <c r="AP52" i="1"/>
  <c r="AE52" i="1"/>
  <c r="CO51" i="1"/>
  <c r="CE51" i="1"/>
  <c r="BT51" i="1"/>
  <c r="BL51" i="1"/>
  <c r="BA51" i="1"/>
  <c r="AP51" i="1"/>
  <c r="AJ51" i="1"/>
  <c r="AH51" i="1"/>
  <c r="AG51" i="1"/>
  <c r="AE51" i="1"/>
  <c r="CO50" i="1"/>
  <c r="CL50" i="1"/>
  <c r="CE50" i="1"/>
  <c r="CC50" i="1"/>
  <c r="CA50" i="1"/>
  <c r="BZ50" i="1"/>
  <c r="BT50" i="1"/>
  <c r="BN50" i="1"/>
  <c r="BL50" i="1"/>
  <c r="BA50" i="1"/>
  <c r="AP50" i="1"/>
  <c r="AN50" i="1"/>
  <c r="AL50" i="1"/>
  <c r="AE50" i="1"/>
  <c r="R50" i="1"/>
  <c r="CO49" i="1"/>
  <c r="CL49" i="1"/>
  <c r="CJ49" i="1"/>
  <c r="CG49" i="1"/>
  <c r="CE49" i="1"/>
  <c r="CC49" i="1"/>
  <c r="CA49" i="1"/>
  <c r="BT49" i="1"/>
  <c r="BL49" i="1"/>
  <c r="BJ49" i="1"/>
  <c r="BA49" i="1"/>
  <c r="AP49" i="1"/>
  <c r="AO49" i="1"/>
  <c r="AN49" i="1"/>
  <c r="AL49" i="1"/>
  <c r="AJ49" i="1"/>
  <c r="AE49" i="1"/>
  <c r="AA49" i="1"/>
  <c r="CO48" i="1"/>
  <c r="CE48" i="1"/>
  <c r="BY48" i="1"/>
  <c r="BV48" i="1"/>
  <c r="BT48" i="1"/>
  <c r="BN48" i="1"/>
  <c r="BL48" i="1"/>
  <c r="BD48" i="1"/>
  <c r="BC48" i="1"/>
  <c r="BA48" i="1"/>
  <c r="AP48" i="1"/>
  <c r="AE48" i="1"/>
  <c r="CO47" i="1"/>
  <c r="CL47" i="1"/>
  <c r="CE47" i="1"/>
  <c r="CC47" i="1"/>
  <c r="BT47" i="1"/>
  <c r="BL47" i="1"/>
  <c r="BA47" i="1"/>
  <c r="AP47" i="1"/>
  <c r="AN47" i="1"/>
  <c r="AL47" i="1"/>
  <c r="AJ47" i="1"/>
  <c r="AE47" i="1"/>
  <c r="CO46" i="1"/>
  <c r="CE46" i="1"/>
  <c r="BT46" i="1"/>
  <c r="BL46" i="1"/>
  <c r="BC46" i="1"/>
  <c r="BA46" i="1"/>
  <c r="AP46" i="1"/>
  <c r="AE46" i="1"/>
  <c r="CO45" i="1"/>
  <c r="CL45" i="1"/>
  <c r="CE45" i="1"/>
  <c r="BT45" i="1"/>
  <c r="BL45" i="1"/>
  <c r="BA45" i="1"/>
  <c r="AP45" i="1"/>
  <c r="AN45" i="1"/>
  <c r="AE45" i="1"/>
  <c r="AC45" i="1"/>
  <c r="AA45" i="1"/>
  <c r="CO44" i="1"/>
  <c r="CL44" i="1"/>
  <c r="CJ44" i="1"/>
  <c r="CG44" i="1"/>
  <c r="CE44" i="1"/>
  <c r="BT44" i="1"/>
  <c r="BN44" i="1"/>
  <c r="BL44" i="1"/>
  <c r="BF44" i="1"/>
  <c r="AW44" i="1"/>
  <c r="AP44" i="1"/>
  <c r="AE44" i="1"/>
  <c r="AD44" i="1"/>
  <c r="AC44" i="1"/>
  <c r="AA44" i="1"/>
  <c r="CO43" i="1"/>
  <c r="CL43" i="1"/>
  <c r="CE43" i="1"/>
  <c r="CC43" i="1"/>
  <c r="BR43" i="1"/>
  <c r="BP43" i="1"/>
  <c r="BH43" i="1"/>
  <c r="BF43" i="1"/>
  <c r="BC43" i="1"/>
  <c r="BA43" i="1"/>
  <c r="AP43" i="1"/>
  <c r="AE43" i="1"/>
  <c r="CO42" i="1"/>
  <c r="CL42" i="1"/>
  <c r="CE42" i="1"/>
  <c r="BT42" i="1"/>
  <c r="BH42" i="1"/>
  <c r="BA42" i="1"/>
  <c r="AP42" i="1"/>
  <c r="AO42" i="1"/>
  <c r="AF42" i="1"/>
  <c r="CK42" i="1" s="1"/>
  <c r="AE42" i="1"/>
  <c r="CO41" i="1"/>
  <c r="CL41" i="1"/>
  <c r="CJ41" i="1"/>
  <c r="CE41" i="1"/>
  <c r="BT41" i="1"/>
  <c r="BN41" i="1"/>
  <c r="BL41" i="1"/>
  <c r="BF41" i="1"/>
  <c r="AW41" i="1"/>
  <c r="AP41" i="1"/>
  <c r="AE41" i="1"/>
  <c r="AC41" i="1"/>
  <c r="AA41" i="1"/>
  <c r="CO40" i="1"/>
  <c r="CL40" i="1"/>
  <c r="CE40" i="1"/>
  <c r="BP40" i="1"/>
  <c r="BN40" i="1"/>
  <c r="BL40" i="1"/>
  <c r="BA40" i="1"/>
  <c r="AR40" i="1"/>
  <c r="AP40" i="1"/>
  <c r="AG40" i="1"/>
  <c r="AE40" i="1"/>
  <c r="R40" i="1"/>
  <c r="CO39" i="1"/>
  <c r="CL39" i="1"/>
  <c r="CJ39" i="1"/>
  <c r="CE39" i="1"/>
  <c r="BP39" i="1"/>
  <c r="BL39" i="1"/>
  <c r="BA39" i="1"/>
  <c r="AR39" i="1"/>
  <c r="AP39" i="1"/>
  <c r="AE39" i="1"/>
  <c r="AC39" i="1"/>
  <c r="AA39" i="1"/>
  <c r="CO38" i="1"/>
  <c r="CL38" i="1"/>
  <c r="CJ38" i="1"/>
  <c r="CG38" i="1"/>
  <c r="CE38" i="1"/>
  <c r="BP38" i="1"/>
  <c r="BL38" i="1"/>
  <c r="BA38" i="1"/>
  <c r="AP38" i="1"/>
  <c r="AJ38" i="1"/>
  <c r="AA38" i="1"/>
  <c r="CO37" i="1"/>
  <c r="CE37" i="1"/>
  <c r="BT37" i="1"/>
  <c r="BL37" i="1"/>
  <c r="BC37" i="1"/>
  <c r="BA37" i="1"/>
  <c r="AR37" i="1"/>
  <c r="AP37" i="1"/>
  <c r="AE37" i="1"/>
  <c r="CO36" i="1"/>
  <c r="CE36" i="1"/>
  <c r="BY36" i="1"/>
  <c r="BT36" i="1"/>
  <c r="BN36" i="1"/>
  <c r="BL36" i="1"/>
  <c r="BA36" i="1"/>
  <c r="AP36" i="1"/>
  <c r="AJ36" i="1"/>
  <c r="AE36" i="1"/>
  <c r="CO35" i="1"/>
  <c r="CL35" i="1"/>
  <c r="CE35" i="1"/>
  <c r="BY35" i="1"/>
  <c r="BT35" i="1"/>
  <c r="BN35" i="1"/>
  <c r="BL35" i="1"/>
  <c r="BA35" i="1"/>
  <c r="AP35" i="1"/>
  <c r="AN35" i="1"/>
  <c r="AL35" i="1"/>
  <c r="AE35" i="1"/>
  <c r="AC35" i="1"/>
  <c r="AA35" i="1"/>
  <c r="CO34" i="1"/>
  <c r="CL34" i="1"/>
  <c r="CJ34" i="1"/>
  <c r="CE34" i="1"/>
  <c r="BV34" i="1"/>
  <c r="BT34" i="1"/>
  <c r="BN34" i="1"/>
  <c r="BL34" i="1"/>
  <c r="AW34" i="1"/>
  <c r="AN34" i="1"/>
  <c r="AL34" i="1"/>
  <c r="AJ34" i="1"/>
  <c r="AG34" i="1"/>
  <c r="AE34" i="1"/>
  <c r="CO33" i="1"/>
  <c r="CL33" i="1"/>
  <c r="CE33" i="1"/>
  <c r="BT33" i="1"/>
  <c r="BN33" i="1"/>
  <c r="BL33" i="1"/>
  <c r="BA33" i="1"/>
  <c r="AN33" i="1"/>
  <c r="AL33" i="1"/>
  <c r="AJ33" i="1"/>
  <c r="AE33" i="1"/>
  <c r="AC33" i="1"/>
  <c r="AA33" i="1"/>
  <c r="CO32" i="1"/>
  <c r="CL32" i="1"/>
  <c r="CJ32" i="1"/>
  <c r="CE32" i="1"/>
  <c r="BT32" i="1"/>
  <c r="BN32" i="1"/>
  <c r="BL32" i="1"/>
  <c r="BK32" i="1"/>
  <c r="BC32" i="1"/>
  <c r="BA32" i="1"/>
  <c r="AN32" i="1"/>
  <c r="AL32" i="1"/>
  <c r="AE32" i="1"/>
  <c r="AA32" i="1"/>
  <c r="O32" i="1"/>
  <c r="CO31" i="1"/>
  <c r="CL31" i="1"/>
  <c r="CE31" i="1"/>
  <c r="BT31" i="1"/>
  <c r="BL31" i="1"/>
  <c r="BA31" i="1"/>
  <c r="AP31" i="1"/>
  <c r="AL31" i="1"/>
  <c r="AJ31" i="1"/>
  <c r="AE31" i="1"/>
  <c r="R31" i="1"/>
  <c r="CO30" i="1"/>
  <c r="CN30" i="1"/>
  <c r="CL30" i="1"/>
  <c r="CE30" i="1"/>
  <c r="BY30" i="1"/>
  <c r="BT30" i="1"/>
  <c r="BL30" i="1"/>
  <c r="BC30" i="1"/>
  <c r="BA30" i="1"/>
  <c r="AP30" i="1"/>
  <c r="AO30" i="1"/>
  <c r="AN30" i="1"/>
  <c r="AH30" i="1"/>
  <c r="AG30" i="1"/>
  <c r="AE30" i="1"/>
  <c r="CO29" i="1"/>
  <c r="CN29" i="1"/>
  <c r="CL29" i="1"/>
  <c r="CE29" i="1"/>
  <c r="BY29" i="1"/>
  <c r="BT29" i="1"/>
  <c r="BL29" i="1"/>
  <c r="BA29" i="1"/>
  <c r="AP29" i="1"/>
  <c r="AL29" i="1"/>
  <c r="AE29" i="1"/>
  <c r="AC29" i="1"/>
  <c r="AA29" i="1"/>
  <c r="CO28" i="1"/>
  <c r="CN28" i="1"/>
  <c r="CL28" i="1"/>
  <c r="CA28" i="1"/>
  <c r="BR28" i="1"/>
  <c r="BP28" i="1"/>
  <c r="BL28" i="1"/>
  <c r="BA28" i="1"/>
  <c r="AP28" i="1"/>
  <c r="AE28" i="1"/>
  <c r="AC28" i="1"/>
  <c r="AA28" i="1"/>
  <c r="CL27" i="1"/>
  <c r="CE27" i="1"/>
  <c r="CC27" i="1"/>
  <c r="BT27" i="1"/>
  <c r="BN27" i="1"/>
  <c r="BL27" i="1"/>
  <c r="BA27" i="1"/>
  <c r="AP27" i="1"/>
  <c r="AN27" i="1"/>
  <c r="AL27" i="1"/>
  <c r="AE27" i="1"/>
  <c r="AC27" i="1"/>
  <c r="CL26" i="1"/>
  <c r="CE26" i="1"/>
  <c r="BT26" i="1"/>
  <c r="BH26" i="1"/>
  <c r="BA26" i="1"/>
  <c r="AL26" i="1"/>
  <c r="AA26" i="1"/>
  <c r="W26" i="1"/>
  <c r="R26" i="1"/>
  <c r="CO25" i="1"/>
  <c r="CN25" i="1"/>
  <c r="CL25" i="1"/>
  <c r="CG25" i="1"/>
  <c r="CE25" i="1"/>
  <c r="BV25" i="1"/>
  <c r="BT25" i="1"/>
  <c r="BL25" i="1"/>
  <c r="BH25" i="1"/>
  <c r="BA25" i="1"/>
  <c r="AL25" i="1"/>
  <c r="AJ25" i="1"/>
  <c r="AH25" i="1"/>
  <c r="AE25" i="1"/>
  <c r="CL24" i="1"/>
  <c r="CE24" i="1"/>
  <c r="CC24" i="1"/>
  <c r="BT24" i="1"/>
  <c r="BL24" i="1"/>
  <c r="BA24" i="1"/>
  <c r="AP24" i="1"/>
  <c r="AN24" i="1"/>
  <c r="AL24" i="1"/>
  <c r="AE24" i="1"/>
  <c r="CE23" i="1"/>
  <c r="BT23" i="1"/>
  <c r="BL23" i="1"/>
  <c r="BA23" i="1"/>
  <c r="AP23" i="1"/>
  <c r="AE23" i="1"/>
  <c r="CO22" i="1"/>
  <c r="CN22" i="1"/>
  <c r="CL22" i="1"/>
  <c r="CE22" i="1"/>
  <c r="BT22" i="1"/>
  <c r="BL22" i="1"/>
  <c r="BA22" i="1"/>
  <c r="AP22" i="1"/>
  <c r="AN22" i="1"/>
  <c r="AL22" i="1"/>
  <c r="AJ22" i="1"/>
  <c r="AE22" i="1"/>
  <c r="CO21" i="1"/>
  <c r="CN21" i="1"/>
  <c r="CL21" i="1"/>
  <c r="CA21" i="1"/>
  <c r="BT21" i="1"/>
  <c r="BL21" i="1"/>
  <c r="BF21" i="1"/>
  <c r="AW21" i="1"/>
  <c r="AP21" i="1"/>
  <c r="AE21" i="1"/>
  <c r="CO20" i="1"/>
  <c r="CN20" i="1"/>
  <c r="CL20" i="1"/>
  <c r="CE20" i="1"/>
  <c r="BT20" i="1"/>
  <c r="BJ20" i="1"/>
  <c r="BH20" i="1"/>
  <c r="BA20" i="1"/>
  <c r="AY20" i="1"/>
  <c r="AW20" i="1"/>
  <c r="AP20" i="1"/>
  <c r="AN20" i="1"/>
  <c r="AL20" i="1"/>
  <c r="AE20" i="1"/>
  <c r="W20" i="1"/>
  <c r="V20" i="1"/>
  <c r="R20" i="1"/>
  <c r="CO19" i="1"/>
  <c r="CN19" i="1"/>
  <c r="CL19" i="1"/>
  <c r="CE19" i="1"/>
  <c r="CC19" i="1"/>
  <c r="BT19" i="1"/>
  <c r="BH19" i="1"/>
  <c r="BA19" i="1"/>
  <c r="AL19" i="1"/>
  <c r="AJ19" i="1"/>
  <c r="AG19" i="1"/>
  <c r="AE19" i="1"/>
  <c r="W19" i="1"/>
  <c r="O19" i="1"/>
  <c r="CO18" i="1"/>
  <c r="CN18" i="1"/>
  <c r="CL18" i="1"/>
  <c r="CC18" i="1"/>
  <c r="CB18" i="1"/>
  <c r="CA18" i="1"/>
  <c r="BZ18" i="1"/>
  <c r="BQ18" i="1"/>
  <c r="BP18" i="1"/>
  <c r="BJ18" i="1"/>
  <c r="BI18" i="1"/>
  <c r="BH18" i="1"/>
  <c r="BF18" i="1"/>
  <c r="BD18" i="1"/>
  <c r="BB18" i="1"/>
  <c r="BA18" i="1"/>
  <c r="AN18" i="1"/>
  <c r="AM18" i="1"/>
  <c r="AL18" i="1"/>
  <c r="AJ18" i="1"/>
  <c r="AC18" i="1"/>
  <c r="AB18" i="1"/>
  <c r="AA18" i="1"/>
  <c r="Y18" i="1"/>
  <c r="X18" i="1"/>
  <c r="W18" i="1"/>
  <c r="Q18" i="1"/>
  <c r="P18" i="1"/>
  <c r="O18" i="1"/>
  <c r="CO17" i="1"/>
  <c r="CN17" i="1"/>
  <c r="CL17" i="1"/>
  <c r="CE17" i="1"/>
  <c r="BT17" i="1"/>
  <c r="BL17" i="1"/>
  <c r="BA17" i="1"/>
  <c r="AP17" i="1"/>
  <c r="AL17" i="1"/>
  <c r="AE17" i="1"/>
  <c r="W17" i="1"/>
  <c r="O17" i="1"/>
  <c r="CL16" i="1"/>
  <c r="CG16" i="1"/>
  <c r="CF16" i="1"/>
  <c r="CE16" i="1"/>
  <c r="CC16" i="1"/>
  <c r="CB16" i="1"/>
  <c r="CA16" i="1"/>
  <c r="BU16" i="1"/>
  <c r="BT16" i="1"/>
  <c r="BN16" i="1"/>
  <c r="BM16" i="1"/>
  <c r="BL16" i="1"/>
  <c r="BC16" i="1"/>
  <c r="BB16" i="1"/>
  <c r="BA16" i="1"/>
  <c r="AR16" i="1"/>
  <c r="AQ16" i="1"/>
  <c r="AP16" i="1"/>
  <c r="AF16" i="1"/>
  <c r="AE16" i="1"/>
  <c r="AC16" i="1"/>
  <c r="AA16" i="1"/>
  <c r="Y16" i="1"/>
  <c r="W16" i="1"/>
  <c r="CO15" i="1"/>
  <c r="CN15" i="1"/>
  <c r="CL15" i="1"/>
  <c r="CG15" i="1"/>
  <c r="CE15" i="1"/>
  <c r="BT15" i="1"/>
  <c r="BJ15" i="1"/>
  <c r="BH15" i="1"/>
  <c r="BF15" i="1"/>
  <c r="BD15" i="1"/>
  <c r="BA15" i="1"/>
  <c r="AY15" i="1"/>
  <c r="AW15" i="1"/>
  <c r="AL15" i="1"/>
  <c r="AE15" i="1"/>
  <c r="Y15" i="1"/>
  <c r="W15" i="1"/>
  <c r="Q15" i="1"/>
  <c r="O15" i="1"/>
  <c r="CO14" i="1"/>
  <c r="CN14" i="1"/>
  <c r="CL14" i="1"/>
  <c r="CE14" i="1"/>
  <c r="BT14" i="1"/>
  <c r="BL14" i="1"/>
  <c r="BF14" i="1"/>
  <c r="BA14" i="1"/>
  <c r="AP14" i="1"/>
  <c r="AL14" i="1"/>
  <c r="AE14" i="1"/>
  <c r="CO13" i="1"/>
  <c r="CN13" i="1"/>
  <c r="CL13" i="1"/>
  <c r="CE13" i="1"/>
  <c r="BT13" i="1"/>
  <c r="BL13" i="1"/>
  <c r="BA13" i="1"/>
  <c r="AL13" i="1"/>
  <c r="AJ13" i="1"/>
  <c r="AA13" i="1"/>
  <c r="Y13" i="1"/>
  <c r="W13" i="1"/>
  <c r="R13" i="1"/>
  <c r="CO12" i="1"/>
  <c r="CN12" i="1"/>
  <c r="CL12" i="1"/>
  <c r="CF12" i="1"/>
  <c r="CE12" i="1"/>
  <c r="BT12" i="1"/>
  <c r="BL12" i="1"/>
  <c r="BA12" i="1"/>
  <c r="AQ12" i="1"/>
  <c r="AP12" i="1"/>
  <c r="AL12" i="1"/>
  <c r="AJ12" i="1"/>
  <c r="AF12" i="1"/>
  <c r="AE12" i="1"/>
  <c r="AB12" i="1"/>
  <c r="AA12" i="1"/>
  <c r="CO11" i="1"/>
  <c r="CN11" i="1"/>
  <c r="CL11" i="1"/>
  <c r="BU11" i="1"/>
  <c r="BT11" i="1"/>
  <c r="BM11" i="1"/>
  <c r="BL11" i="1"/>
  <c r="AY11" i="1"/>
  <c r="AX11" i="1"/>
  <c r="AW11" i="1"/>
  <c r="AR11" i="1"/>
  <c r="AQ11" i="1"/>
  <c r="AP11" i="1"/>
  <c r="AJ11" i="1"/>
  <c r="AF11" i="1"/>
  <c r="AE11" i="1"/>
  <c r="CL10" i="1"/>
  <c r="BL10" i="1"/>
  <c r="AW10" i="1"/>
  <c r="AP10" i="1"/>
  <c r="AL10" i="1"/>
  <c r="W10" i="1"/>
  <c r="CL9" i="1"/>
  <c r="BU9" i="1"/>
  <c r="BT9" i="1"/>
  <c r="BM9" i="1"/>
  <c r="BL9" i="1"/>
  <c r="BB9" i="1"/>
  <c r="BA9" i="1"/>
  <c r="AR9" i="1"/>
  <c r="AQ9" i="1"/>
  <c r="AP9" i="1"/>
  <c r="AN9" i="1"/>
  <c r="AL9" i="1"/>
  <c r="AF9" i="1"/>
  <c r="AE9" i="1"/>
  <c r="CO8" i="1"/>
  <c r="CN8" i="1"/>
  <c r="CL8" i="1"/>
  <c r="BT8" i="1"/>
  <c r="BH8" i="1"/>
  <c r="AW8" i="1"/>
  <c r="AP8" i="1"/>
  <c r="AJ8" i="1"/>
  <c r="AE8" i="1"/>
  <c r="W8" i="1"/>
  <c r="R8" i="1"/>
  <c r="CO7" i="1"/>
  <c r="CN7" i="1"/>
  <c r="CL7" i="1"/>
  <c r="BQ7" i="1"/>
  <c r="BP7" i="1"/>
  <c r="BM7" i="1"/>
  <c r="BL7" i="1"/>
  <c r="AY7" i="1"/>
  <c r="AX7" i="1"/>
  <c r="AW7" i="1"/>
  <c r="AQ7" i="1"/>
  <c r="AP7" i="1"/>
  <c r="AJ7" i="1"/>
  <c r="AF7" i="1"/>
  <c r="AE7" i="1"/>
  <c r="AB7" i="1"/>
  <c r="AA7" i="1"/>
  <c r="CL6" i="1"/>
  <c r="CO5" i="1"/>
  <c r="CN5" i="1"/>
  <c r="CL5" i="1"/>
  <c r="CL4" i="1"/>
  <c r="CS2" i="1"/>
  <c r="CL2" i="1"/>
  <c r="BU2" i="1"/>
  <c r="BT2" i="1"/>
  <c r="BM2" i="1"/>
  <c r="BL2" i="1"/>
  <c r="BB2" i="1"/>
  <c r="BA2" i="1"/>
  <c r="AR2" i="1"/>
  <c r="AQ2" i="1"/>
  <c r="AP2" i="1"/>
  <c r="AF2" i="1"/>
  <c r="AE2" i="1"/>
  <c r="CK98" i="1" l="1"/>
  <c r="CK9" i="1"/>
  <c r="CK12" i="1"/>
  <c r="CK71" i="1"/>
  <c r="CK2" i="1"/>
  <c r="CK74" i="1"/>
  <c r="CK92" i="1"/>
  <c r="CK95" i="1"/>
  <c r="CK81" i="1"/>
  <c r="CK78" i="1"/>
  <c r="CK100" i="1"/>
  <c r="CK7" i="1"/>
  <c r="CK18" i="1"/>
  <c r="CK90" i="1"/>
  <c r="CK96" i="1"/>
  <c r="CK56" i="1"/>
  <c r="CK88" i="1"/>
  <c r="CK55" i="1"/>
  <c r="CK70" i="1"/>
  <c r="CK75" i="1"/>
  <c r="CK80" i="1"/>
  <c r="CK82" i="1"/>
  <c r="CK87" i="1"/>
  <c r="CK16" i="1"/>
  <c r="CK58" i="1"/>
  <c r="CK73" i="1"/>
  <c r="CK76" i="1"/>
  <c r="CK77" i="1"/>
  <c r="CK84" i="1"/>
  <c r="CK85" i="1"/>
  <c r="CK86" i="1"/>
  <c r="CK97" i="1"/>
  <c r="CK89" i="1"/>
  <c r="CK91" i="1"/>
  <c r="CK94" i="1"/>
  <c r="CK57" i="1"/>
  <c r="CK99" i="1"/>
  <c r="CK101" i="1"/>
  <c r="CK11" i="1"/>
  <c r="CK83" i="1"/>
  <c r="CK93" i="1"/>
  <c r="CK72" i="1"/>
  <c r="CK79" i="1"/>
</calcChain>
</file>

<file path=xl/sharedStrings.xml><?xml version="1.0" encoding="utf-8"?>
<sst xmlns="http://schemas.openxmlformats.org/spreadsheetml/2006/main" count="1416" uniqueCount="474">
  <si>
    <t>ID</t>
  </si>
  <si>
    <t>2) Idade</t>
  </si>
  <si>
    <t>3) Género</t>
  </si>
  <si>
    <t>4) Estado civil</t>
  </si>
  <si>
    <t>5) Tem filhos?</t>
  </si>
  <si>
    <t>6) Nível educacional</t>
  </si>
  <si>
    <t>7) Área de formação principal</t>
  </si>
  <si>
    <t>8) Situação profissional</t>
  </si>
  <si>
    <t>9) Qual a sua profissão?</t>
  </si>
  <si>
    <t>10) Quão frequentemente joga em dispositivos móveis?</t>
  </si>
  <si>
    <t>11) Indique as plataformas em que mais costuma jogar</t>
  </si>
  <si>
    <t>12) Que tipo de videojogos prefere?</t>
  </si>
  <si>
    <t>MS01_HP_deaths</t>
  </si>
  <si>
    <t>MS01_HP_coins</t>
  </si>
  <si>
    <t>MS01_HP_duration</t>
  </si>
  <si>
    <t>MS01_HP_healthLost</t>
  </si>
  <si>
    <t>MS01_EP_coins</t>
  </si>
  <si>
    <t>MS01_EP_deaths</t>
  </si>
  <si>
    <t>MS01_EP_duration</t>
  </si>
  <si>
    <t>MS01_EP_healthLost</t>
  </si>
  <si>
    <t>MS02_deaths</t>
  </si>
  <si>
    <t>MS02_coins</t>
  </si>
  <si>
    <t>MS02_duration</t>
  </si>
  <si>
    <t>MS02_healthLost</t>
  </si>
  <si>
    <t>MS03_HP_deaths</t>
  </si>
  <si>
    <t>MS03_HP_coins</t>
  </si>
  <si>
    <t>MS03_HP_duration</t>
  </si>
  <si>
    <t>MS03_HP_healthLost</t>
  </si>
  <si>
    <t>MS03_EP_deaths</t>
  </si>
  <si>
    <t>MS03_EP_coins</t>
  </si>
  <si>
    <t>MS03_EP_duration</t>
  </si>
  <si>
    <t>MS03_EP_healthLost</t>
  </si>
  <si>
    <t>MS03_trap_attempts</t>
  </si>
  <si>
    <t>MS03_trap_deaths</t>
  </si>
  <si>
    <t>MS03_trap_coins</t>
  </si>
  <si>
    <t>MS04_HP_deaths</t>
  </si>
  <si>
    <t>MS04_HP_coins</t>
  </si>
  <si>
    <t>MS04_HP_duration</t>
  </si>
  <si>
    <t>MS04_HP_healthLost</t>
  </si>
  <si>
    <t>MS04_EP_deaths</t>
  </si>
  <si>
    <t>MS04_EP_coins</t>
  </si>
  <si>
    <t>MS04_EP_duration</t>
  </si>
  <si>
    <t>MS04_EP_healthLost</t>
  </si>
  <si>
    <t>MS04_trap_attempts</t>
  </si>
  <si>
    <t>MS04_trap_deaths</t>
  </si>
  <si>
    <t>MS04_trap_coins</t>
  </si>
  <si>
    <t>MS05_HP_deaths</t>
  </si>
  <si>
    <t>MS05_HP_coins</t>
  </si>
  <si>
    <t>MS05_HP_duration</t>
  </si>
  <si>
    <t>MS05_HP_healthLost</t>
  </si>
  <si>
    <t>MS05_EP_deaths</t>
  </si>
  <si>
    <t>MS05_EP_coins</t>
  </si>
  <si>
    <t>MS05_EP_duration</t>
  </si>
  <si>
    <t>MS05_EP_healthLost</t>
  </si>
  <si>
    <t>MS05_trap_attempts</t>
  </si>
  <si>
    <t>MS05_trap_deaths</t>
  </si>
  <si>
    <t>MS05_trap_coins</t>
  </si>
  <si>
    <t>MS06_HP_deaths</t>
  </si>
  <si>
    <t>MS06_HP_coins</t>
  </si>
  <si>
    <t>MS06_HP_duration</t>
  </si>
  <si>
    <t>MS06_HP_healthLost</t>
  </si>
  <si>
    <t>MS06_EP_deaths</t>
  </si>
  <si>
    <t>MS06_EP_coins</t>
  </si>
  <si>
    <t>MS06_EP_duration</t>
  </si>
  <si>
    <t>MS06_EP_healthLost</t>
  </si>
  <si>
    <t>MS07_HP_deaths</t>
  </si>
  <si>
    <t>MS07_HP_coins</t>
  </si>
  <si>
    <t>MS07_HP_duration</t>
  </si>
  <si>
    <t>MS07_HP_healthLost</t>
  </si>
  <si>
    <t>MS07_EP_deaths</t>
  </si>
  <si>
    <t>MS07_EP_coins</t>
  </si>
  <si>
    <t>MS07_EP_duration</t>
  </si>
  <si>
    <t>MS07_EP_healthLost</t>
  </si>
  <si>
    <t>MS07_trap_attempts</t>
  </si>
  <si>
    <t>MS07_trap_deaths</t>
  </si>
  <si>
    <t>MS07_trap_coins</t>
  </si>
  <si>
    <t>MS08_HP_deaths</t>
  </si>
  <si>
    <t>MS08_HP_coins</t>
  </si>
  <si>
    <t>MS08_HP_duration</t>
  </si>
  <si>
    <t>MS08_HP_healthLost</t>
  </si>
  <si>
    <t>MS08_EP_deaths</t>
  </si>
  <si>
    <t>MS08_EP_coins</t>
  </si>
  <si>
    <t>MS08_EP_duration</t>
  </si>
  <si>
    <t>MS08_EP_healthLost</t>
  </si>
  <si>
    <t>MS08_trap_attempts</t>
  </si>
  <si>
    <t>MS08_trap_deaths</t>
  </si>
  <si>
    <t>MS08_trap_coins</t>
  </si>
  <si>
    <t>TotalHardPaths</t>
  </si>
  <si>
    <t>GaveUpHardPath1x</t>
  </si>
  <si>
    <t>TotalTrapsRisked</t>
  </si>
  <si>
    <t>TotalTrapsRisked2</t>
  </si>
  <si>
    <t>Traps2xAttempts</t>
  </si>
  <si>
    <t>ExploredMS1</t>
  </si>
  <si>
    <t>AT01_hardcoins</t>
  </si>
  <si>
    <t>AT01_totalcoins</t>
  </si>
  <si>
    <t>AT01_diamonds</t>
  </si>
  <si>
    <t>AT01_time</t>
  </si>
  <si>
    <t>AT01_score</t>
  </si>
  <si>
    <t>AT01_trophies</t>
  </si>
  <si>
    <t>AT02_hardcoins</t>
  </si>
  <si>
    <t>AT02_totalcoins</t>
  </si>
  <si>
    <t>AT02_diamonds</t>
  </si>
  <si>
    <t>AT02_time</t>
  </si>
  <si>
    <t>AT02_score</t>
  </si>
  <si>
    <t>AT02_trophies</t>
  </si>
  <si>
    <t>2Attempts</t>
  </si>
  <si>
    <t>TT_insistedHardly</t>
  </si>
  <si>
    <t>1) Preocupo-me com as coisas.</t>
  </si>
  <si>
    <t>2) Faço amizades facilmente.</t>
  </si>
  <si>
    <t>3) Tenho uma imaginação vívida</t>
  </si>
  <si>
    <t>4) Confio nos outros</t>
  </si>
  <si>
    <t>5) Completo tarefas com sucesso.</t>
  </si>
  <si>
    <t>6) Zango-me com facilidade</t>
  </si>
  <si>
    <t>7) Adoro grandes festas.</t>
  </si>
  <si>
    <t>8) Acredito na importância da arte</t>
  </si>
  <si>
    <t>9) Uso os outros para os meus próprios fins.</t>
  </si>
  <si>
    <t>10) Gosto de arrumar.</t>
  </si>
  <si>
    <t>11) Sinto-me triste frequentemente</t>
  </si>
  <si>
    <t>12) Encarrego-me da situação</t>
  </si>
  <si>
    <t>13) Vivo as minhas emoções intensamente</t>
  </si>
  <si>
    <t>14) Adoro ajudar os outros</t>
  </si>
  <si>
    <t>15) Cumpro as minhas promessas</t>
  </si>
  <si>
    <t>16) Tenho dificuldade em abordar outras pessoas</t>
  </si>
  <si>
    <t>17) Estou sempre ocupado(a)</t>
  </si>
  <si>
    <t>18) Prefiro a variedade à rotina</t>
  </si>
  <si>
    <t>19) Gosto de uma boa zaragata</t>
  </si>
  <si>
    <t>20) Trabalho arduamente</t>
  </si>
  <si>
    <t>21) Cometo excessos</t>
  </si>
  <si>
    <t>22) Adoro sentir emoção</t>
  </si>
  <si>
    <t>23) Gosto de ler material desafiante</t>
  </si>
  <si>
    <t>24) Acredito que sou melhor do que os outros</t>
  </si>
  <si>
    <t>25) Estou sempre preparado(a)</t>
  </si>
  <si>
    <t>26) Entro em pânico facilmente</t>
  </si>
  <si>
    <t>27) Irradio alegria</t>
  </si>
  <si>
    <t>28) Tendo a votar em candidatos políticos liberais</t>
  </si>
  <si>
    <t>29) Sinto simpatia pelos sem-abrigo</t>
  </si>
  <si>
    <t>30) Atiro-me às situações sem pensar</t>
  </si>
  <si>
    <t>31) Tenho medo do pior</t>
  </si>
  <si>
    <t>32) Sinto-me confortável ao redor das pessoas</t>
  </si>
  <si>
    <t>33) Gosto de viajar pelo reino da fantasia</t>
  </si>
  <si>
    <t>34) Acredito que os outros têm boas intenções</t>
  </si>
  <si>
    <t>35) Sou excelente no que faço</t>
  </si>
  <si>
    <t>36) Irrito-me com facilidade</t>
  </si>
  <si>
    <t>37) Converso com muitas pessoas diferentes em festas</t>
  </si>
  <si>
    <t>38) Vejo beleza em coisas que outros podem não notar</t>
  </si>
  <si>
    <t>39) Faço batota para ficar à frente dos outros</t>
  </si>
  <si>
    <t>40) Esqueço-me com frequência de colocar as coisas no seu devido lugar</t>
  </si>
  <si>
    <t>41) Não gosto de mim próprio(a)</t>
  </si>
  <si>
    <t>42) Tento liderar os outros</t>
  </si>
  <si>
    <t>43) Sinto as emoções dos outros</t>
  </si>
  <si>
    <t>44) Preocupo-me com os outros</t>
  </si>
  <si>
    <t>45) Digo a verdade</t>
  </si>
  <si>
    <t>46) Tenho medo de chamar a atenção para mim mesmo(a)</t>
  </si>
  <si>
    <t>47) Estou sempre em movimento</t>
  </si>
  <si>
    <t>48) Prefiro ficar-me pelas coisas que conheço</t>
  </si>
  <si>
    <t>49) Grito com as pessoas</t>
  </si>
  <si>
    <t>50) Faço mais do que é esperado de mim</t>
  </si>
  <si>
    <t>51) Raramente exagero</t>
  </si>
  <si>
    <t>52) Procuro aventura</t>
  </si>
  <si>
    <t>53) Evito discussões filosóficas</t>
  </si>
  <si>
    <t>54) Tenho-me em grande consideração</t>
  </si>
  <si>
    <t>55) Realizo os meus planos até ao fim</t>
  </si>
  <si>
    <t>56) Os eventos fazem-me sentir oprimido</t>
  </si>
  <si>
    <t>57) Divirto-me muito</t>
  </si>
  <si>
    <t>58) Acredito que não há certo ou errado absolutos</t>
  </si>
  <si>
    <t>59) Sinto simpatia por aqueles que estão em situações piores do que a minha</t>
  </si>
  <si>
    <t>60) Tomo decisões impulsivas</t>
  </si>
  <si>
    <t>61) Tenho medo de muitas coisas</t>
  </si>
  <si>
    <t>62) Evito contacto com outras pessoas</t>
  </si>
  <si>
    <t>63) Adoro sonhar acordado</t>
  </si>
  <si>
    <t>64) Confio no que as pessoas dizem</t>
  </si>
  <si>
    <t>65) Lido com tarefas sem problemas</t>
  </si>
  <si>
    <t>66) Perco a paciência</t>
  </si>
  <si>
    <t>67) Prefiro estar sozinho(a)</t>
  </si>
  <si>
    <t>68) Não gosto de poesia</t>
  </si>
  <si>
    <t>C1- Da lista a seguir escolha a opção 4</t>
  </si>
  <si>
    <t>69) Aproveito-me dos outros</t>
  </si>
  <si>
    <t>70) Deixo uma confusão no meu quarto</t>
  </si>
  <si>
    <t>71) Estou muitas vezes em baixo</t>
  </si>
  <si>
    <t>72) Assumo o controlo das coisas</t>
  </si>
  <si>
    <t>73) Raramente reparo nas minhas reações emocionais</t>
  </si>
  <si>
    <t>74) Sou indiferente aos sentimentos dos outros</t>
  </si>
  <si>
    <t>75) Infrinjo as regras</t>
  </si>
  <si>
    <t>76) Só me sinto confortável com amigos</t>
  </si>
  <si>
    <t>77) Faço imensas coisas no meu tempo livre</t>
  </si>
  <si>
    <t>78) Não gosto de mudanças</t>
  </si>
  <si>
    <t>79) Insulto as pessoas</t>
  </si>
  <si>
    <t>80) Faço apenas o trabalho necessário para sobreviver</t>
  </si>
  <si>
    <t>81) Resisto facilmente a tentações</t>
  </si>
  <si>
    <t>82) Gosto de correr riscos</t>
  </si>
  <si>
    <t>83) Tenho dificuldade em entender ideias abstratas</t>
  </si>
  <si>
    <t>84) Tenho uma opinião elevada sobre mim próprio</t>
  </si>
  <si>
    <t>85) Desperdiço o meu tempo</t>
  </si>
  <si>
    <t>86) Sinto que não consigo lidar com as coisas</t>
  </si>
  <si>
    <t>87) Amo a vida</t>
  </si>
  <si>
    <t>88) Tendo a votar em candidatos políticos conservadores</t>
  </si>
  <si>
    <t>89) Não estou interessado nos problemas dos outros</t>
  </si>
  <si>
    <t>90) Faço as coisas à pressa</t>
  </si>
  <si>
    <t>91) Fico facilmente stressado(a)</t>
  </si>
  <si>
    <t>92) Mantenho os outros à distância</t>
  </si>
  <si>
    <t>93) Gosto de me perder em pensamentos</t>
  </si>
  <si>
    <t>94) Desconfio das pessoas</t>
  </si>
  <si>
    <t>95) Sei como fazer as coisas</t>
  </si>
  <si>
    <t>96) Não me irrito facilmente</t>
  </si>
  <si>
    <t>97) Evito multidões</t>
  </si>
  <si>
    <t>98) Não gosto de ir a museus de arte</t>
  </si>
  <si>
    <t>99) Obstruo os planos dos outros</t>
  </si>
  <si>
    <t>100) Deixo os meus pertences em qualquer lado</t>
  </si>
  <si>
    <t>101) Sinto-me confortável comigo próprio(a)</t>
  </si>
  <si>
    <t>102) Espero que os outros liderem o caminho</t>
  </si>
  <si>
    <t>103) Não entendo as pessoas que se emocionam</t>
  </si>
  <si>
    <t>104) Não dedico tempo para os outros</t>
  </si>
  <si>
    <t>105) Quebro as minhas promessas</t>
  </si>
  <si>
    <t>106) Não me incomodo com situações sociais difíceis</t>
  </si>
  <si>
    <t>107) Gosto de ir com calma</t>
  </si>
  <si>
    <t>108) Sou apegado às formas convencionais</t>
  </si>
  <si>
    <t>109) Viro-me contra os outros</t>
  </si>
  <si>
    <t>110) Dedico pouco tempo e esforço ao meu trabalho</t>
  </si>
  <si>
    <t>111) Sou capaz de controlar os meus desejos</t>
  </si>
  <si>
    <t>112)	Ajo de forma selvagem e louca</t>
  </si>
  <si>
    <t>113) Não estou interessado em discussões teóricas</t>
  </si>
  <si>
    <t>114) Gabo-me das minhas virtudes</t>
  </si>
  <si>
    <t>115) Tenho dificuldade em iniciar tarefas</t>
  </si>
  <si>
    <t>116) Permaneço calmo(a) sob pressão</t>
  </si>
  <si>
    <t>117) Vejo o lado bom da vida</t>
  </si>
  <si>
    <t>118) Acredito que devemos ser inflexíveis com o crime</t>
  </si>
  <si>
    <t>119) Tento não pensar nos necessitados</t>
  </si>
  <si>
    <t>120) Ajo sem pensar</t>
  </si>
  <si>
    <t>C1_SelfEfficacy</t>
  </si>
  <si>
    <t>C2_Order</t>
  </si>
  <si>
    <t>C3_Dutifulness</t>
  </si>
  <si>
    <t>C4_Achievement</t>
  </si>
  <si>
    <t>C5_SelfDiscipline</t>
  </si>
  <si>
    <t>C6_Cautiousness</t>
  </si>
  <si>
    <t>N1_Anxiety</t>
  </si>
  <si>
    <t>N2_Anger</t>
  </si>
  <si>
    <t>N3_Depression</t>
  </si>
  <si>
    <t>N4_SelfConsc</t>
  </si>
  <si>
    <t>N5_Immoderation</t>
  </si>
  <si>
    <t>N6_Vulnerability</t>
  </si>
  <si>
    <t>E1_Friendliness</t>
  </si>
  <si>
    <t>E2_Gregarious</t>
  </si>
  <si>
    <t>E3_Assertiveness</t>
  </si>
  <si>
    <t>E4_Activity</t>
  </si>
  <si>
    <t>E5_ExcitementSeek</t>
  </si>
  <si>
    <t>E6_Cheerfulness</t>
  </si>
  <si>
    <t>O1_Imagination</t>
  </si>
  <si>
    <t>O2_ArtisticInterests</t>
  </si>
  <si>
    <t>O3_Emotionality</t>
  </si>
  <si>
    <t>O4_Adventurous</t>
  </si>
  <si>
    <t>O5_Intellect</t>
  </si>
  <si>
    <t>O6_Liberalism</t>
  </si>
  <si>
    <t>A1_Trust</t>
  </si>
  <si>
    <t>A2_Morality</t>
  </si>
  <si>
    <t>A3_Altruism</t>
  </si>
  <si>
    <t>A4_Cooperation</t>
  </si>
  <si>
    <t>A5_Modesty</t>
  </si>
  <si>
    <t>A6_Sympathy</t>
  </si>
  <si>
    <t>Masculino</t>
  </si>
  <si>
    <t>Solteiro(a)</t>
  </si>
  <si>
    <t>Não</t>
  </si>
  <si>
    <t>Ensino secundário</t>
  </si>
  <si>
    <t>Outra</t>
  </si>
  <si>
    <t>Desempregado(a)</t>
  </si>
  <si>
    <t>Desempregado</t>
  </si>
  <si>
    <t>Uma vez por semana</t>
  </si>
  <si>
    <t>Consolas portáteis (Nintendo switch, PSP, Wii U, etc..);Computador (portátil, desktop...);Consolas fixas (XBox, Playstation...);Dispositivos móveis (telemóvel, tablet);</t>
  </si>
  <si>
    <t>Batalha/luta;Acção;Estratégia;</t>
  </si>
  <si>
    <t>Licenciatura (3-5 anos)</t>
  </si>
  <si>
    <t>Engenharia e Tecnologia</t>
  </si>
  <si>
    <t>Trabalhador(a) por conta de outrem</t>
  </si>
  <si>
    <t xml:space="preserve">Bolseiro de Investigação </t>
  </si>
  <si>
    <t>Já joguei, mas de momento não jogo</t>
  </si>
  <si>
    <t>Consolas fixas (XBox, Playstation...);Dispositivos móveis (telemóvel, tablet);</t>
  </si>
  <si>
    <t>Aventura;Acção;Estratégia;Plataforma;Simulação;</t>
  </si>
  <si>
    <t>Trabalhador-estudante</t>
  </si>
  <si>
    <t xml:space="preserve">Investigador </t>
  </si>
  <si>
    <t>Algumas vezes por semana</t>
  </si>
  <si>
    <t>Computador (portátil, desktop...);Dispositivos móveis (telemóvel, tablet);</t>
  </si>
  <si>
    <t>Multiplayer;Plataforma;Fantasia;Aventura;Batalha/luta;Puzzles;</t>
  </si>
  <si>
    <t>Estudante</t>
  </si>
  <si>
    <t>Dispositivos móveis (telemóvel, tablet);</t>
  </si>
  <si>
    <t>Desporto;Simulação;Acção;Estratégia;</t>
  </si>
  <si>
    <t>Mestrado</t>
  </si>
  <si>
    <t>Engenheiro Informático</t>
  </si>
  <si>
    <t>Algumas vezes por dia</t>
  </si>
  <si>
    <t>Consolas fixas (XBox, Playstation...);Computador (portátil, desktop...);Dispositivos móveis (telemóvel, tablet);</t>
  </si>
  <si>
    <t>Aventura;Acção;Batalha/luta;Estratégia;Fantasia;Multiplayer;RPG/MMORPG;</t>
  </si>
  <si>
    <t>Feminino</t>
  </si>
  <si>
    <t>Num relacionamento (casamento, união de facto, etc.)</t>
  </si>
  <si>
    <t>Sim</t>
  </si>
  <si>
    <t>Humanidades</t>
  </si>
  <si>
    <t xml:space="preserve">Bibliotecário </t>
  </si>
  <si>
    <t>Puzzles;</t>
  </si>
  <si>
    <t>estudante</t>
  </si>
  <si>
    <t>Não costumo jogar;</t>
  </si>
  <si>
    <t>Nenhum;</t>
  </si>
  <si>
    <t>Estratégia;RPG/MMORPG;Simulação;</t>
  </si>
  <si>
    <t>Ciências médicas e da saúde</t>
  </si>
  <si>
    <t>Nutricionista</t>
  </si>
  <si>
    <t>Estratégia;Simulação;Puzzles;</t>
  </si>
  <si>
    <t>Desporto;Estratégia;</t>
  </si>
  <si>
    <t>Doutoramento</t>
  </si>
  <si>
    <t xml:space="preserve">Professora </t>
  </si>
  <si>
    <t>Puzzles;Estratégia;</t>
  </si>
  <si>
    <t>Consolas portáteis (Nintendo switch, PSP, Wii U, etc..);Computador (portátil, desktop...);Dispositivos móveis (telemóvel, tablet);</t>
  </si>
  <si>
    <t>Fantasia;Aventura;Estratégia;Puzzles;RPG/MMORPG;</t>
  </si>
  <si>
    <t>Uma vez por dia</t>
  </si>
  <si>
    <t>Dispositivos móveis (telemóvel, tablet);Computador (portátil, desktop...);</t>
  </si>
  <si>
    <t>Puzzles;Simulação;</t>
  </si>
  <si>
    <t>Investigador</t>
  </si>
  <si>
    <t>Estratégia;Plataforma;Puzzles;</t>
  </si>
  <si>
    <t>4 com a pergunta</t>
  </si>
  <si>
    <t xml:space="preserve">Estudante </t>
  </si>
  <si>
    <t>Computador (portátil, desktop...);</t>
  </si>
  <si>
    <t>Puzzles;Plataforma;Multiplayer;Estratégia;Aventura;</t>
  </si>
  <si>
    <t>Ciências exatas</t>
  </si>
  <si>
    <t>Batalha/luta;Estratégia;Puzzles;Acção;</t>
  </si>
  <si>
    <t>Esrudante</t>
  </si>
  <si>
    <t>Computador (portátil, desktop...);Consolas fixas (XBox, Playstation...);</t>
  </si>
  <si>
    <t>Acção;Aventura;Multiplayer;Simulação;Desporto;</t>
  </si>
  <si>
    <t>Consolas fixas (XBox, Playstation...);Computador (portátil, desktop...);</t>
  </si>
  <si>
    <t>Acção;Estratégia;Multiplayer;Simulação;</t>
  </si>
  <si>
    <t>Estudante de medicina. Investigador no GECAD</t>
  </si>
  <si>
    <t>Estratégia;Multiplayer;RPG/MMORPG;Simulação;Desporto;</t>
  </si>
  <si>
    <t>Engenheiro Mecânico</t>
  </si>
  <si>
    <t>Aventura;Acção;Batalha/luta;Estratégia;Plataforma;Puzzles;RPG/MMORPG;Simulação;</t>
  </si>
  <si>
    <t>Programador Software</t>
  </si>
  <si>
    <t>Nunca</t>
  </si>
  <si>
    <t>Investigadora</t>
  </si>
  <si>
    <t>Consolas fixas (XBox, Playstation...);</t>
  </si>
  <si>
    <t>RPG/MMORPG;Puzzles;</t>
  </si>
  <si>
    <t xml:space="preserve">Assistente Técnico </t>
  </si>
  <si>
    <t>Aventura;Puzzles;Simulação;Fantasia;</t>
  </si>
  <si>
    <t xml:space="preserve">Gestor Desportivo </t>
  </si>
  <si>
    <t>Estratégia;RPG/MMORPG;Aventura;Fantasia;</t>
  </si>
  <si>
    <t xml:space="preserve">Engenheiro Mecânico </t>
  </si>
  <si>
    <t>RPG/MMORPG;Aventura;Desporto;</t>
  </si>
  <si>
    <t>Técnico Superior -Jurista</t>
  </si>
  <si>
    <t xml:space="preserve">Técnica Superior Jurista </t>
  </si>
  <si>
    <t>Ciências sociais</t>
  </si>
  <si>
    <t xml:space="preserve">Técnica Superior </t>
  </si>
  <si>
    <t>Outra frequência</t>
  </si>
  <si>
    <t>Dispositivos móveis (telemóvel, tablet);Consolas portáteis (Nintendo switch, PSP, Wii U, etc..);</t>
  </si>
  <si>
    <t>Estratégia;Puzzles;Simulação;Fantasia;</t>
  </si>
  <si>
    <t xml:space="preserve">Técnico construção </t>
  </si>
  <si>
    <t>Estratégia;Puzzles;RPG/MMORPG;</t>
  </si>
  <si>
    <t xml:space="preserve">Arquiteto </t>
  </si>
  <si>
    <t>Consolas fixas (XBox, Playstation...);Outra;</t>
  </si>
  <si>
    <t>Desporto;</t>
  </si>
  <si>
    <t>Técnico de TI</t>
  </si>
  <si>
    <t>Computador (portátil, desktop...);Consolas portáteis (Nintendo switch, PSP, Wii U, etc..);Outra;</t>
  </si>
  <si>
    <t>Acção;Aventura;Batalha/luta;Estratégia;Simulação;Multiplayer;Fantasia;Plataforma;RPG/MMORPG;Puzzles;</t>
  </si>
  <si>
    <t>Bacharelato (2-3 anos)</t>
  </si>
  <si>
    <t>Ciências naturais</t>
  </si>
  <si>
    <t>Técnico superior de ambiente</t>
  </si>
  <si>
    <t>RPG/MMORPG;Plataforma;Multiplayer;Estratégia;Batalha/luta;</t>
  </si>
  <si>
    <t xml:space="preserve">Assistente Operacional </t>
  </si>
  <si>
    <t>Fantasia;</t>
  </si>
  <si>
    <t>Professora AEC</t>
  </si>
  <si>
    <t xml:space="preserve">Assistente operacional </t>
  </si>
  <si>
    <t>Professora</t>
  </si>
  <si>
    <t>Puzzles;RPG/MMORPG;</t>
  </si>
  <si>
    <t>Aventura;</t>
  </si>
  <si>
    <t xml:space="preserve">Educadora de infância </t>
  </si>
  <si>
    <t>Estratégia;</t>
  </si>
  <si>
    <t>Divorciado(a)/Separado(a)</t>
  </si>
  <si>
    <t>Outro</t>
  </si>
  <si>
    <t>Assistente Operacional</t>
  </si>
  <si>
    <t>Computador (portátil, desktop...);Consolas fixas (XBox, Playstation...);Dispositivos móveis (telemóvel, tablet);</t>
  </si>
  <si>
    <t>Aventura;Acção;</t>
  </si>
  <si>
    <t xml:space="preserve">Docente Ens. Superior </t>
  </si>
  <si>
    <t>Professor</t>
  </si>
  <si>
    <t>Computador (portátil, desktop...);Consolas portáteis (Nintendo switch, PSP, Wii U, etc..);Dispositivos móveis (telemóvel, tablet);</t>
  </si>
  <si>
    <t>Aventura;Acção;Estratégia;Batalha/luta;Plataforma;Desporto;</t>
  </si>
  <si>
    <t>Programador</t>
  </si>
  <si>
    <t>Estratégia;RPG/MMORPG;Fantasia;Acção;</t>
  </si>
  <si>
    <t xml:space="preserve">Professor </t>
  </si>
  <si>
    <t>Estratégia;Puzzles;</t>
  </si>
  <si>
    <t xml:space="preserve">Estudante de Doutoramento </t>
  </si>
  <si>
    <t>Estratégia;Fantasia;Puzzles;</t>
  </si>
  <si>
    <t>Estratégia;Multiplayer;RPG/MMORPG;Desporto;Puzzles;</t>
  </si>
  <si>
    <t>Multiplayer;Simulação;</t>
  </si>
  <si>
    <t>Consolas fixas (XBox, Playstation...);Computador (portátil, desktop...);Consolas portáteis (Nintendo switch, PSP, Wii U, etc..);</t>
  </si>
  <si>
    <t>Aventura;Acção;Multiplayer;Plataforma;RPG/MMORPG;Simulação;</t>
  </si>
  <si>
    <t>Multiplayer;Puzzles;Estratégia;</t>
  </si>
  <si>
    <t>Aventura;Simulação;</t>
  </si>
  <si>
    <t>PhD Student in Computer Science</t>
  </si>
  <si>
    <t>Computador (portátil, desktop...);Dispositivos móveis (telemóvel, tablet);Consolas portáteis (Nintendo switch, PSP, Wii U, etc..);</t>
  </si>
  <si>
    <t>Estratégia;Desporto;RPG/MMORPG;Simulação;</t>
  </si>
  <si>
    <t>Batalha/luta;Estratégia;Fantasia;RPG/MMORPG;Puzzles;Multiplayer;Plataforma;Aventura;</t>
  </si>
  <si>
    <t>Aventura;Acção;Batalha/luta;Estratégia;Simulação;Multiplayer;</t>
  </si>
  <si>
    <t>RPG/MMORPG;Estratégia;Multiplayer;</t>
  </si>
  <si>
    <t>Estratégia;Multiplayer;Batalha/luta;Acção;</t>
  </si>
  <si>
    <t>Trabalhador(a) por conta própria</t>
  </si>
  <si>
    <t xml:space="preserve">Prof. Universitário </t>
  </si>
  <si>
    <t xml:space="preserve">Estudante-Investigadora </t>
  </si>
  <si>
    <t>Estratégia;Puzzles;Desporto;Aventura;</t>
  </si>
  <si>
    <t xml:space="preserve">Técnica de investigação </t>
  </si>
  <si>
    <t xml:space="preserve">Técnica de Laboratório </t>
  </si>
  <si>
    <t>Plataforma;Puzzles;</t>
  </si>
  <si>
    <t>Acção;Aventura;Desporto;RPG/MMORPG;</t>
  </si>
  <si>
    <t>Aventura;Acção;Estratégia;Puzzles;</t>
  </si>
  <si>
    <t>Computador (portátil, desktop...);Consolas fixas (XBox, Playstation...);Consolas portáteis (Nintendo switch, PSP, Wii U, etc..);Dispositivos móveis (telemóvel, tablet);</t>
  </si>
  <si>
    <t>Aventura;Acção;Batalha/luta;Estratégia;Fantasia;Multiplayer;Plataforma;Puzzles;RPG/MMORPG;Simulação;Desporto;</t>
  </si>
  <si>
    <t>Professor ensino superior</t>
  </si>
  <si>
    <t>Consolas fixas (XBox, Playstation...);Consolas portáteis (Nintendo switch, PSP, Wii U, etc..);</t>
  </si>
  <si>
    <t>Aventura;Acção;RPG/MMORPG;Desporto;</t>
  </si>
  <si>
    <t>Técnica Superior</t>
  </si>
  <si>
    <t>Simulação;Puzzles;Estratégia;</t>
  </si>
  <si>
    <t xml:space="preserve">Professor ensino superior </t>
  </si>
  <si>
    <t>Estratégia;Multiplayer;</t>
  </si>
  <si>
    <t>Docente</t>
  </si>
  <si>
    <t>Aventura;Estratégia;</t>
  </si>
  <si>
    <t>Aluno doutoramento R&amp;D</t>
  </si>
  <si>
    <t>Aventura;RPG/MMORPG;</t>
  </si>
  <si>
    <t>Multiplayer;Estratégia;</t>
  </si>
  <si>
    <t>Puzzles;Multiplayer;Estratégia;</t>
  </si>
  <si>
    <t>Acção;Aventura;Multiplayer;Plataforma;</t>
  </si>
  <si>
    <t>Engenheira Química</t>
  </si>
  <si>
    <t>Aventura;Multiplayer;Puzzles;</t>
  </si>
  <si>
    <t>Aventura;Multiplayer;</t>
  </si>
  <si>
    <t>Multiplayer;Desporto;</t>
  </si>
  <si>
    <t>Investigadora (aluna de doutoramento)</t>
  </si>
  <si>
    <t>Aventura;Acção;Batalha/luta;Estratégia;Fantasia;RPG/MMORPG;</t>
  </si>
  <si>
    <t>Puzzles;Simulação;Multiplayer;</t>
  </si>
  <si>
    <t>Administrativa</t>
  </si>
  <si>
    <t xml:space="preserve">Engenheiro mecânico </t>
  </si>
  <si>
    <t>Simulação;</t>
  </si>
  <si>
    <t>Técnico administrativo</t>
  </si>
  <si>
    <t xml:space="preserve">Serviços Financeiros e Faturação </t>
  </si>
  <si>
    <t xml:space="preserve">Gestão de parcerias </t>
  </si>
  <si>
    <t>Puzzles;Acção;</t>
  </si>
  <si>
    <t>Gestora</t>
  </si>
  <si>
    <t>Aventura;Fantasia;Puzzles;Simulação;</t>
  </si>
  <si>
    <t>Product Owner / Project Manager</t>
  </si>
  <si>
    <t>Estratégia;Multiplayer;RPG/MMORPG;Desporto;</t>
  </si>
  <si>
    <t>Nenhuma</t>
  </si>
  <si>
    <t xml:space="preserve">Administrativo </t>
  </si>
  <si>
    <t xml:space="preserve">Gestora administrativa </t>
  </si>
  <si>
    <t>Estratégia;Multiplayer;Simulação;</t>
  </si>
  <si>
    <t xml:space="preserve">Assistente administrativo </t>
  </si>
  <si>
    <t>Acção;Puzzles;Estratégia;</t>
  </si>
  <si>
    <t>Consolas fixas (XBox, Playstation...);Computador (portátil, desktop...);Dispositivos móveis (telemóvel, tablet);Outra;</t>
  </si>
  <si>
    <t>Aventura;Acção;Batalha/luta;Multiplayer;Simulação;Desporto;</t>
  </si>
  <si>
    <t>Gestor</t>
  </si>
  <si>
    <t>Enfermeira</t>
  </si>
  <si>
    <t xml:space="preserve">Controlo de Gestão </t>
  </si>
  <si>
    <t>Row Labels</t>
  </si>
  <si>
    <t>Grand Total</t>
  </si>
  <si>
    <t>Sum of AT01_hardcoins</t>
  </si>
  <si>
    <t>Sum of AT01_trophies</t>
  </si>
  <si>
    <t>Average of AT01_trophies</t>
  </si>
  <si>
    <t>Sum of AT01_diamonds</t>
  </si>
  <si>
    <t>Average of AT01_diamonds</t>
  </si>
  <si>
    <t>Sum of AT01_totalcoins</t>
  </si>
  <si>
    <t>Average of AT01_hardcoins</t>
  </si>
  <si>
    <t>Average of AT01_totalcoins</t>
  </si>
  <si>
    <t>Sum of AT02_diamonds</t>
  </si>
  <si>
    <t>FALTAM OS SCORES</t>
  </si>
  <si>
    <t>FALTAM SCORES</t>
  </si>
  <si>
    <t>Average of GaveUpHardPath1x</t>
  </si>
  <si>
    <t>Sum of TotalTrapsRisked2</t>
  </si>
  <si>
    <t>Average of TotalHardPaths</t>
  </si>
  <si>
    <t>Count of 2Attempts</t>
  </si>
  <si>
    <t>WW_TotalTime</t>
  </si>
  <si>
    <t>We played for them</t>
  </si>
  <si>
    <t>TT</t>
  </si>
  <si>
    <t>Both</t>
  </si>
  <si>
    <t>None</t>
  </si>
  <si>
    <t>Num relacionamento</t>
  </si>
  <si>
    <t>Ensino Secundário</t>
  </si>
  <si>
    <t>PC</t>
  </si>
  <si>
    <t>Aventura;Acção;Multiplayer;Simulação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</si>
</sst>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:ss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0" fontId="2" fillId="3" borderId="0" applyNumberFormat="0" applyBorder="0" applyAlignment="0" applyProtection="0"/>
  </cellStyleXfs>
  <cellXfs count="17">
    <xf numFmtId="0" fontId="0" fillId="0" borderId="0" xfId="0"/>
    <xf numFmtId="2" fontId="0" fillId="0" borderId="0" xfId="0" applyNumberFormat="1"/>
    <xf numFmtId="1" fontId="0" fillId="0" borderId="0" xfId="0" applyNumberFormat="1"/>
    <xf numFmtId="0" fontId="1" fillId="0" borderId="0" xfId="0" applyFont="1"/>
    <xf numFmtId="0" fontId="0" fillId="2" borderId="0" xfId="0" applyFill="1"/>
    <xf numFmtId="0" fontId="0" fillId="0" borderId="0" xfId="0" pivotButton="1"/>
    <xf numFmtId="0" fontId="0" fillId="0" borderId="0" xfId="0" applyAlignment="1">
      <alignment horizontal="left"/>
    </xf>
    <xf numFmtId="0" fontId="3" fillId="0" borderId="0" xfId="0" applyFont="1"/>
    <xf numFmtId="0" fontId="2" fillId="3" borderId="0" xfId="1"/>
    <xf numFmtId="0" fontId="0" fillId="3" borderId="1" xfId="1" applyFont="1" applyBorder="1"/>
    <xf numFmtId="0" fontId="0" fillId="0" borderId="0" xfId="0" applyFill="1"/>
    <xf numFmtId="0" fontId="0" fillId="4" borderId="0" xfId="0" applyFill="1"/>
    <xf numFmtId="0" fontId="4" fillId="0" borderId="0" xfId="0" applyFont="1" applyFill="1"/>
    <xf numFmtId="0" fontId="5" fillId="0" borderId="0" xfId="0" applyFont="1" applyFill="1"/>
    <xf numFmtId="0" fontId="3" fillId="0" borderId="0" xfId="0" applyFont="1" applyFill="1"/>
    <xf numFmtId="0" fontId="4" fillId="0" borderId="0" xfId="0" applyFont="1"/>
    <xf numFmtId="0" fontId="4" fillId="0" borderId="0" xfId="0" quotePrefix="1" applyFont="1"/>
  </cellXfs>
  <cellStyles count="2">
    <cellStyle name="20% - Accent2" xfId="1" builtinId="34"/>
    <cellStyle name="Normal" xfId="0" builtinId="0"/>
  </cellStyles>
  <dxfs count="261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WW Completion Times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'WW-Time'!$S$3</c:f>
              <c:strCache>
                <c:ptCount val="1"/>
                <c:pt idx="0">
                  <c:v>None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'WW-Time'!$S$4:$S$72</c:f>
              <c:numCache>
                <c:formatCode>General</c:formatCode>
                <c:ptCount val="69"/>
                <c:pt idx="0">
                  <c:v>51.354079999999996</c:v>
                </c:pt>
                <c:pt idx="1">
                  <c:v>66.845309999999998</c:v>
                </c:pt>
                <c:pt idx="2">
                  <c:v>168.64059900000001</c:v>
                </c:pt>
                <c:pt idx="3">
                  <c:v>79.249843999999996</c:v>
                </c:pt>
                <c:pt idx="4">
                  <c:v>81.957971999999998</c:v>
                </c:pt>
                <c:pt idx="5">
                  <c:v>128.70801499999999</c:v>
                </c:pt>
                <c:pt idx="6">
                  <c:v>107.80674099999999</c:v>
                </c:pt>
                <c:pt idx="7">
                  <c:v>83.552182999999999</c:v>
                </c:pt>
                <c:pt idx="8">
                  <c:v>23</c:v>
                </c:pt>
                <c:pt idx="9">
                  <c:v>76.153518999999989</c:v>
                </c:pt>
                <c:pt idx="10">
                  <c:v>165.664469</c:v>
                </c:pt>
                <c:pt idx="11">
                  <c:v>179.47166999999999</c:v>
                </c:pt>
                <c:pt idx="12">
                  <c:v>127.77303999999999</c:v>
                </c:pt>
                <c:pt idx="13">
                  <c:v>127.68294999999999</c:v>
                </c:pt>
                <c:pt idx="14">
                  <c:v>62.135798000000001</c:v>
                </c:pt>
                <c:pt idx="15">
                  <c:v>244.76452</c:v>
                </c:pt>
                <c:pt idx="16">
                  <c:v>162.47011800000001</c:v>
                </c:pt>
                <c:pt idx="17">
                  <c:v>128.43061700000001</c:v>
                </c:pt>
                <c:pt idx="18">
                  <c:v>113.959058</c:v>
                </c:pt>
                <c:pt idx="19">
                  <c:v>65.151223999999999</c:v>
                </c:pt>
                <c:pt idx="20">
                  <c:v>64.28795199999999</c:v>
                </c:pt>
                <c:pt idx="21">
                  <c:v>98.528999999999996</c:v>
                </c:pt>
                <c:pt idx="22">
                  <c:v>105.107916</c:v>
                </c:pt>
                <c:pt idx="23">
                  <c:v>174.81508199999999</c:v>
                </c:pt>
                <c:pt idx="24">
                  <c:v>161.757362</c:v>
                </c:pt>
                <c:pt idx="25">
                  <c:v>59.167968999999992</c:v>
                </c:pt>
                <c:pt idx="26">
                  <c:v>116.87844</c:v>
                </c:pt>
                <c:pt idx="27">
                  <c:v>74.922310999999993</c:v>
                </c:pt>
                <c:pt idx="28">
                  <c:v>208.00873999999999</c:v>
                </c:pt>
                <c:pt idx="29">
                  <c:v>141.36290049999999</c:v>
                </c:pt>
                <c:pt idx="30">
                  <c:v>97.097036000000003</c:v>
                </c:pt>
                <c:pt idx="31">
                  <c:v>59.342337999999998</c:v>
                </c:pt>
                <c:pt idx="32">
                  <c:v>100.70306600000001</c:v>
                </c:pt>
                <c:pt idx="33">
                  <c:v>102.93067199999997</c:v>
                </c:pt>
                <c:pt idx="34">
                  <c:v>101.067273</c:v>
                </c:pt>
                <c:pt idx="35">
                  <c:v>73.747445999999997</c:v>
                </c:pt>
                <c:pt idx="36">
                  <c:v>43.773775999999998</c:v>
                </c:pt>
                <c:pt idx="37">
                  <c:v>74.319026000000008</c:v>
                </c:pt>
                <c:pt idx="38">
                  <c:v>153.82788400000001</c:v>
                </c:pt>
                <c:pt idx="39">
                  <c:v>175.47347349999998</c:v>
                </c:pt>
                <c:pt idx="40">
                  <c:v>129.21878100000001</c:v>
                </c:pt>
                <c:pt idx="41">
                  <c:v>197.31465450000002</c:v>
                </c:pt>
                <c:pt idx="42">
                  <c:v>160.14605574999999</c:v>
                </c:pt>
                <c:pt idx="43">
                  <c:v>64.576916999999995</c:v>
                </c:pt>
                <c:pt idx="44">
                  <c:v>167.53737000000001</c:v>
                </c:pt>
                <c:pt idx="45">
                  <c:v>85.623017000000004</c:v>
                </c:pt>
                <c:pt idx="46">
                  <c:v>75.271031999999991</c:v>
                </c:pt>
                <c:pt idx="47">
                  <c:v>100.92999100000002</c:v>
                </c:pt>
                <c:pt idx="48">
                  <c:v>155.62786499999999</c:v>
                </c:pt>
                <c:pt idx="49">
                  <c:v>51.171241999999999</c:v>
                </c:pt>
                <c:pt idx="50">
                  <c:v>165.08444999999998</c:v>
                </c:pt>
                <c:pt idx="51">
                  <c:v>43.730849000000006</c:v>
                </c:pt>
                <c:pt idx="52">
                  <c:v>94.002441999999988</c:v>
                </c:pt>
                <c:pt idx="53">
                  <c:v>52.103566000000001</c:v>
                </c:pt>
                <c:pt idx="54">
                  <c:v>84.592669000000001</c:v>
                </c:pt>
                <c:pt idx="55">
                  <c:v>73.038527000000002</c:v>
                </c:pt>
                <c:pt idx="56">
                  <c:v>133.73632500000002</c:v>
                </c:pt>
                <c:pt idx="57">
                  <c:v>76.417513499999998</c:v>
                </c:pt>
                <c:pt idx="58">
                  <c:v>113.44739799999999</c:v>
                </c:pt>
                <c:pt idx="59">
                  <c:v>119.481182</c:v>
                </c:pt>
                <c:pt idx="60">
                  <c:v>58.119325999999994</c:v>
                </c:pt>
                <c:pt idx="61">
                  <c:v>260.940113</c:v>
                </c:pt>
                <c:pt idx="62">
                  <c:v>56.605574999999995</c:v>
                </c:pt>
                <c:pt idx="63">
                  <c:v>134.19544299999998</c:v>
                </c:pt>
                <c:pt idx="64">
                  <c:v>77.370527999999993</c:v>
                </c:pt>
                <c:pt idx="65">
                  <c:v>140.364814</c:v>
                </c:pt>
                <c:pt idx="66">
                  <c:v>67.475610000000003</c:v>
                </c:pt>
                <c:pt idx="67">
                  <c:v>85.420851999999996</c:v>
                </c:pt>
                <c:pt idx="68">
                  <c:v>219.77392600000002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6D-4456-9F6D-DAA95BA40237}"/>
            </c:ext>
          </c:extLst>
        </c:ser>
        <c:ser>
          <c:idx val="1"/>
          <c:order val="1"/>
          <c:tx>
            <c:strRef>
              <c:f>'WW-Time'!$T$3</c:f>
              <c:strCache>
                <c:ptCount val="1"/>
                <c:pt idx="0">
                  <c:v>TT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'WW-Time'!$T$4:$T$73</c:f>
              <c:numCache>
                <c:formatCode>General</c:formatCode>
                <c:ptCount val="70"/>
                <c:pt idx="0">
                  <c:v>98.974632999999997</c:v>
                </c:pt>
                <c:pt idx="1">
                  <c:v>178.63866999999999</c:v>
                </c:pt>
                <c:pt idx="2">
                  <c:v>131.311218</c:v>
                </c:pt>
                <c:pt idx="3">
                  <c:v>87.969665000000006</c:v>
                </c:pt>
                <c:pt idx="4">
                  <c:v>190.79513599999999</c:v>
                </c:pt>
                <c:pt idx="5">
                  <c:v>115.70901099999999</c:v>
                </c:pt>
                <c:pt idx="6">
                  <c:v>48.409570000000002</c:v>
                </c:pt>
                <c:pt idx="7">
                  <c:v>55.927301999999997</c:v>
                </c:pt>
                <c:pt idx="8">
                  <c:v>109.81583600000002</c:v>
                </c:pt>
                <c:pt idx="9">
                  <c:v>48.309069999999998</c:v>
                </c:pt>
                <c:pt idx="10">
                  <c:v>165.93118000000001</c:v>
                </c:pt>
                <c:pt idx="11">
                  <c:v>252.58364999999998</c:v>
                </c:pt>
                <c:pt idx="12">
                  <c:v>87.486133333333328</c:v>
                </c:pt>
                <c:pt idx="13">
                  <c:v>103.30929900000001</c:v>
                </c:pt>
                <c:pt idx="14">
                  <c:v>80.041266999999991</c:v>
                </c:pt>
                <c:pt idx="15">
                  <c:v>127.465716</c:v>
                </c:pt>
                <c:pt idx="16">
                  <c:v>134.32501600000001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6D-4456-9F6D-DAA95BA40237}"/>
            </c:ext>
          </c:extLst>
        </c:ser>
        <c:ser>
          <c:idx val="2"/>
          <c:order val="2"/>
          <c:tx>
            <c:strRef>
              <c:f>'WW-Time'!$U$3</c:f>
              <c:strCache>
                <c:ptCount val="1"/>
                <c:pt idx="0">
                  <c:v>Both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'WW-Time'!$U$4:$U$73</c:f>
              <c:numCache>
                <c:formatCode>General</c:formatCode>
                <c:ptCount val="70"/>
                <c:pt idx="0">
                  <c:v>130.02454999999998</c:v>
                </c:pt>
                <c:pt idx="1">
                  <c:v>75.643630999999999</c:v>
                </c:pt>
                <c:pt idx="2">
                  <c:v>70.542271999999997</c:v>
                </c:pt>
                <c:pt idx="3">
                  <c:v>52.729310500000004</c:v>
                </c:pt>
                <c:pt idx="4">
                  <c:v>145.698215</c:v>
                </c:pt>
                <c:pt idx="5">
                  <c:v>86.530732000000015</c:v>
                </c:pt>
                <c:pt idx="6">
                  <c:v>68.579876999999996</c:v>
                </c:pt>
                <c:pt idx="7">
                  <c:v>153.08541966666667</c:v>
                </c:pt>
                <c:pt idx="8">
                  <c:v>80.287129000000007</c:v>
                </c:pt>
                <c:pt idx="9">
                  <c:v>63.416582999999996</c:v>
                </c:pt>
                <c:pt idx="10">
                  <c:v>68.875745999999992</c:v>
                </c:pt>
                <c:pt idx="11">
                  <c:v>103.66355799999999</c:v>
                </c:pt>
                <c:pt idx="12">
                  <c:v>91.972447499999987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6D-4456-9F6D-DAA95BA40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94865824"/>
        <c:axId val="1349647392"/>
      </c:lineChart>
      <c:catAx>
        <c:axId val="1594865824"/>
        <c:scaling>
          <c:orientation val="minMax"/>
        </c:scaling>
        <c:delete val="1"/>
        <c:axPos val="b"/>
        <c:majorTickMark val="none"/>
        <c:minorTickMark val="none"/>
        <c:tickLblPos val="nextTo"/>
        <c:crossAx val="1349647392"/>
        <c:crosses val="autoZero"/>
        <c:auto val="1"/>
        <c:lblAlgn val="ctr"/>
        <c:lblOffset val="100"/>
        <c:noMultiLvlLbl val="0"/>
      </c:catAx>
      <c:valAx>
        <c:axId val="1349647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PT" sz="1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Time, 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P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5948658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[AppendixB-fulldataset.xlsx]TT-Cheerfulness!PivotTable4</c:name>
    <c:fmtId val="0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'TT-Cheerfulness'!$B$1</c:f>
              <c:strCache>
                <c:ptCount val="1"/>
                <c:pt idx="0">
                  <c:v>Sum of AT02_diamonds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'TT-Cheerfulness'!$A$2:$A$15</c:f>
              <c:strCache>
                <c:ptCount val="13"/>
                <c:pt idx="0">
                  <c:v>2</c:v>
                </c:pt>
                <c:pt idx="1">
                  <c:v>2,25</c:v>
                </c:pt>
                <c:pt idx="2">
                  <c:v>2,5</c:v>
                </c:pt>
                <c:pt idx="3">
                  <c:v>2,75</c:v>
                </c:pt>
                <c:pt idx="4">
                  <c:v>3</c:v>
                </c:pt>
                <c:pt idx="5">
                  <c:v>3,25</c:v>
                </c:pt>
                <c:pt idx="6">
                  <c:v>3,5</c:v>
                </c:pt>
                <c:pt idx="7">
                  <c:v>3,75</c:v>
                </c:pt>
                <c:pt idx="8">
                  <c:v>4</c:v>
                </c:pt>
                <c:pt idx="9">
                  <c:v>4,25</c:v>
                </c:pt>
                <c:pt idx="10">
                  <c:v>4,5</c:v>
                </c:pt>
                <c:pt idx="11">
                  <c:v>4,75</c:v>
                </c:pt>
                <c:pt idx="12">
                  <c:v>5</c:v>
                </c:pt>
              </c:strCache>
            </c:strRef>
          </c:cat>
          <c:val>
            <c:numRef>
              <c:f>'TT-Cheerfulness'!$B$2:$B$15</c:f>
              <c:numCache>
                <c:formatCode>General</c:formatCode>
                <c:ptCount val="13"/>
                <c:pt idx="3">
                  <c:v>0</c:v>
                </c:pt>
                <c:pt idx="6">
                  <c:v>3</c:v>
                </c:pt>
                <c:pt idx="7">
                  <c:v>9</c:v>
                </c:pt>
                <c:pt idx="8">
                  <c:v>6</c:v>
                </c:pt>
                <c:pt idx="9">
                  <c:v>6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9D-413E-A5F2-A69EAA6D7FC8}"/>
            </c:ext>
          </c:extLst>
        </c:ser>
        <c:ser>
          <c:idx val="1"/>
          <c:order val="1"/>
          <c:tx>
            <c:strRef>
              <c:f>'TT-Cheerfulness'!$C$1</c:f>
              <c:strCache>
                <c:ptCount val="1"/>
                <c:pt idx="0">
                  <c:v>Sum of AT01_trophies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'TT-Cheerfulness'!$A$2:$A$15</c:f>
              <c:strCache>
                <c:ptCount val="13"/>
                <c:pt idx="0">
                  <c:v>2</c:v>
                </c:pt>
                <c:pt idx="1">
                  <c:v>2,25</c:v>
                </c:pt>
                <c:pt idx="2">
                  <c:v>2,5</c:v>
                </c:pt>
                <c:pt idx="3">
                  <c:v>2,75</c:v>
                </c:pt>
                <c:pt idx="4">
                  <c:v>3</c:v>
                </c:pt>
                <c:pt idx="5">
                  <c:v>3,25</c:v>
                </c:pt>
                <c:pt idx="6">
                  <c:v>3,5</c:v>
                </c:pt>
                <c:pt idx="7">
                  <c:v>3,75</c:v>
                </c:pt>
                <c:pt idx="8">
                  <c:v>4</c:v>
                </c:pt>
                <c:pt idx="9">
                  <c:v>4,25</c:v>
                </c:pt>
                <c:pt idx="10">
                  <c:v>4,5</c:v>
                </c:pt>
                <c:pt idx="11">
                  <c:v>4,75</c:v>
                </c:pt>
                <c:pt idx="12">
                  <c:v>5</c:v>
                </c:pt>
              </c:strCache>
            </c:strRef>
          </c:cat>
          <c:val>
            <c:numRef>
              <c:f>'TT-Cheerfulness'!$C$2:$C$15</c:f>
              <c:numCache>
                <c:formatCode>General</c:formatCode>
                <c:ptCount val="13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  <c:pt idx="5">
                  <c:v>7</c:v>
                </c:pt>
                <c:pt idx="6">
                  <c:v>7</c:v>
                </c:pt>
                <c:pt idx="7">
                  <c:v>10</c:v>
                </c:pt>
                <c:pt idx="8">
                  <c:v>11</c:v>
                </c:pt>
                <c:pt idx="9">
                  <c:v>17</c:v>
                </c:pt>
                <c:pt idx="10">
                  <c:v>20</c:v>
                </c:pt>
                <c:pt idx="11">
                  <c:v>5</c:v>
                </c:pt>
                <c:pt idx="1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89D-413E-A5F2-A69EAA6D7F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019440"/>
        <c:axId val="509886192"/>
      </c:lineChart>
      <c:catAx>
        <c:axId val="182601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509886192"/>
        <c:crosses val="autoZero"/>
        <c:auto val="1"/>
        <c:lblAlgn val="ctr"/>
        <c:lblOffset val="100"/>
        <c:noMultiLvlLbl val="0"/>
      </c:catAx>
      <c:valAx>
        <c:axId val="50988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26019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[AppendixB-fulldataset.xlsx]TT-Adventurouness!PivotTable5</c:name>
    <c:fmtId val="0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'TT-Adventurouness'!$B$1</c:f>
              <c:strCache>
                <c:ptCount val="1"/>
                <c:pt idx="0">
                  <c:v>Average of AT01_diamonds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'TT-Adventurouness'!$A$2:$A$17</c:f>
              <c:strCache>
                <c:ptCount val="15"/>
                <c:pt idx="0">
                  <c:v>1,5</c:v>
                </c:pt>
                <c:pt idx="1">
                  <c:v>1,75</c:v>
                </c:pt>
                <c:pt idx="2">
                  <c:v>2</c:v>
                </c:pt>
                <c:pt idx="3">
                  <c:v>2,25</c:v>
                </c:pt>
                <c:pt idx="4">
                  <c:v>2,5</c:v>
                </c:pt>
                <c:pt idx="5">
                  <c:v>2,75</c:v>
                </c:pt>
                <c:pt idx="6">
                  <c:v>3</c:v>
                </c:pt>
                <c:pt idx="7">
                  <c:v>3,25</c:v>
                </c:pt>
                <c:pt idx="8">
                  <c:v>3,5</c:v>
                </c:pt>
                <c:pt idx="9">
                  <c:v>3,75</c:v>
                </c:pt>
                <c:pt idx="10">
                  <c:v>4</c:v>
                </c:pt>
                <c:pt idx="11">
                  <c:v>4,25</c:v>
                </c:pt>
                <c:pt idx="12">
                  <c:v>4,5</c:v>
                </c:pt>
                <c:pt idx="13">
                  <c:v>4,75</c:v>
                </c:pt>
                <c:pt idx="14">
                  <c:v>5</c:v>
                </c:pt>
              </c:strCache>
            </c:strRef>
          </c:cat>
          <c:val>
            <c:numRef>
              <c:f>'TT-Adventurouness'!$B$2:$B$17</c:f>
              <c:numCache>
                <c:formatCode>General</c:formatCode>
                <c:ptCount val="15"/>
                <c:pt idx="0">
                  <c:v>0.75</c:v>
                </c:pt>
                <c:pt idx="1">
                  <c:v>0</c:v>
                </c:pt>
                <c:pt idx="2">
                  <c:v>0.75</c:v>
                </c:pt>
                <c:pt idx="3">
                  <c:v>1</c:v>
                </c:pt>
                <c:pt idx="4">
                  <c:v>1.2</c:v>
                </c:pt>
                <c:pt idx="5">
                  <c:v>1</c:v>
                </c:pt>
                <c:pt idx="6">
                  <c:v>0</c:v>
                </c:pt>
                <c:pt idx="7">
                  <c:v>0.8666666666666667</c:v>
                </c:pt>
                <c:pt idx="8">
                  <c:v>0.9375</c:v>
                </c:pt>
                <c:pt idx="9">
                  <c:v>1.1000000000000001</c:v>
                </c:pt>
                <c:pt idx="10">
                  <c:v>1.1111111111111112</c:v>
                </c:pt>
                <c:pt idx="11">
                  <c:v>1</c:v>
                </c:pt>
                <c:pt idx="12">
                  <c:v>2.5</c:v>
                </c:pt>
                <c:pt idx="13">
                  <c:v>2</c:v>
                </c:pt>
                <c:pt idx="1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AC-40A8-A7A9-D629E283B651}"/>
            </c:ext>
          </c:extLst>
        </c:ser>
        <c:ser>
          <c:idx val="1"/>
          <c:order val="1"/>
          <c:tx>
            <c:strRef>
              <c:f>'TT-Adventurouness'!$C$1</c:f>
              <c:strCache>
                <c:ptCount val="1"/>
                <c:pt idx="0">
                  <c:v>Average of AT01_trophies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'TT-Adventurouness'!$A$2:$A$17</c:f>
              <c:strCache>
                <c:ptCount val="15"/>
                <c:pt idx="0">
                  <c:v>1,5</c:v>
                </c:pt>
                <c:pt idx="1">
                  <c:v>1,75</c:v>
                </c:pt>
                <c:pt idx="2">
                  <c:v>2</c:v>
                </c:pt>
                <c:pt idx="3">
                  <c:v>2,25</c:v>
                </c:pt>
                <c:pt idx="4">
                  <c:v>2,5</c:v>
                </c:pt>
                <c:pt idx="5">
                  <c:v>2,75</c:v>
                </c:pt>
                <c:pt idx="6">
                  <c:v>3</c:v>
                </c:pt>
                <c:pt idx="7">
                  <c:v>3,25</c:v>
                </c:pt>
                <c:pt idx="8">
                  <c:v>3,5</c:v>
                </c:pt>
                <c:pt idx="9">
                  <c:v>3,75</c:v>
                </c:pt>
                <c:pt idx="10">
                  <c:v>4</c:v>
                </c:pt>
                <c:pt idx="11">
                  <c:v>4,25</c:v>
                </c:pt>
                <c:pt idx="12">
                  <c:v>4,5</c:v>
                </c:pt>
                <c:pt idx="13">
                  <c:v>4,75</c:v>
                </c:pt>
                <c:pt idx="14">
                  <c:v>5</c:v>
                </c:pt>
              </c:strCache>
            </c:strRef>
          </c:cat>
          <c:val>
            <c:numRef>
              <c:f>'TT-Adventurouness'!$C$2:$C$17</c:f>
              <c:numCache>
                <c:formatCode>General</c:formatCode>
                <c:ptCount val="15"/>
                <c:pt idx="0">
                  <c:v>0.5</c:v>
                </c:pt>
                <c:pt idx="1">
                  <c:v>0</c:v>
                </c:pt>
                <c:pt idx="2">
                  <c:v>0.5</c:v>
                </c:pt>
                <c:pt idx="3">
                  <c:v>1</c:v>
                </c:pt>
                <c:pt idx="4">
                  <c:v>1.2</c:v>
                </c:pt>
                <c:pt idx="5">
                  <c:v>0.875</c:v>
                </c:pt>
                <c:pt idx="6">
                  <c:v>0</c:v>
                </c:pt>
                <c:pt idx="7">
                  <c:v>0.8</c:v>
                </c:pt>
                <c:pt idx="8">
                  <c:v>0.875</c:v>
                </c:pt>
                <c:pt idx="9">
                  <c:v>0.6</c:v>
                </c:pt>
                <c:pt idx="10">
                  <c:v>1.1111111111111112</c:v>
                </c:pt>
                <c:pt idx="11">
                  <c:v>1</c:v>
                </c:pt>
                <c:pt idx="12">
                  <c:v>2.5</c:v>
                </c:pt>
                <c:pt idx="13">
                  <c:v>2</c:v>
                </c:pt>
                <c:pt idx="1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AC-40A8-A7A9-D629E283B6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018480"/>
        <c:axId val="1723865296"/>
      </c:lineChart>
      <c:catAx>
        <c:axId val="182601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23865296"/>
        <c:crosses val="autoZero"/>
        <c:auto val="1"/>
        <c:lblAlgn val="ctr"/>
        <c:lblOffset val="100"/>
        <c:noMultiLvlLbl val="0"/>
      </c:catAx>
      <c:valAx>
        <c:axId val="172386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26018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[AppendixB-fulldataset.xlsx]TT-Achievement striving!PivotTable6</c:name>
    <c:fmtId val="0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4"/>
            </a:solidFill>
            <a:ln w="9525">
              <a:solidFill>
                <a:schemeClr val="accent4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'TT-Achievement striving'!$B$1</c:f>
              <c:strCache>
                <c:ptCount val="1"/>
                <c:pt idx="0">
                  <c:v>Average of AT01_hardcoins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'TT-Achievement striving'!$A$2:$A$14</c:f>
              <c:strCache>
                <c:ptCount val="12"/>
                <c:pt idx="0">
                  <c:v>1,75</c:v>
                </c:pt>
                <c:pt idx="1">
                  <c:v>2,5</c:v>
                </c:pt>
                <c:pt idx="2">
                  <c:v>2,75</c:v>
                </c:pt>
                <c:pt idx="3">
                  <c:v>3</c:v>
                </c:pt>
                <c:pt idx="4">
                  <c:v>3,25</c:v>
                </c:pt>
                <c:pt idx="5">
                  <c:v>3,5</c:v>
                </c:pt>
                <c:pt idx="6">
                  <c:v>3,75</c:v>
                </c:pt>
                <c:pt idx="7">
                  <c:v>4</c:v>
                </c:pt>
                <c:pt idx="8">
                  <c:v>4,25</c:v>
                </c:pt>
                <c:pt idx="9">
                  <c:v>4,5</c:v>
                </c:pt>
                <c:pt idx="10">
                  <c:v>4,75</c:v>
                </c:pt>
                <c:pt idx="11">
                  <c:v>5</c:v>
                </c:pt>
              </c:strCache>
            </c:strRef>
          </c:cat>
          <c:val>
            <c:numRef>
              <c:f>'TT-Achievement striving'!$B$2:$B$14</c:f>
              <c:numCache>
                <c:formatCode>General</c:formatCode>
                <c:ptCount val="12"/>
                <c:pt idx="0">
                  <c:v>0.20833333333333334</c:v>
                </c:pt>
                <c:pt idx="1">
                  <c:v>6.25E-2</c:v>
                </c:pt>
                <c:pt idx="2">
                  <c:v>0.91666666666666663</c:v>
                </c:pt>
                <c:pt idx="3">
                  <c:v>0.1875</c:v>
                </c:pt>
                <c:pt idx="4">
                  <c:v>0.30833333333333335</c:v>
                </c:pt>
                <c:pt idx="5">
                  <c:v>0.51041666666666674</c:v>
                </c:pt>
                <c:pt idx="6">
                  <c:v>0.4392361111111111</c:v>
                </c:pt>
                <c:pt idx="7">
                  <c:v>0.43055555555555552</c:v>
                </c:pt>
                <c:pt idx="8">
                  <c:v>0.49142156862745096</c:v>
                </c:pt>
                <c:pt idx="9">
                  <c:v>0.46083333333333326</c:v>
                </c:pt>
                <c:pt idx="10">
                  <c:v>0.43055555555555558</c:v>
                </c:pt>
                <c:pt idx="11">
                  <c:v>0.39583333333333337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B7-456D-A8D5-9CB4C3D1D53A}"/>
            </c:ext>
          </c:extLst>
        </c:ser>
        <c:ser>
          <c:idx val="1"/>
          <c:order val="1"/>
          <c:tx>
            <c:strRef>
              <c:f>'TT-Achievement striving'!$C$1</c:f>
              <c:strCache>
                <c:ptCount val="1"/>
                <c:pt idx="0">
                  <c:v>Average of AT01_totalcoins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'TT-Achievement striving'!$A$2:$A$14</c:f>
              <c:strCache>
                <c:ptCount val="12"/>
                <c:pt idx="0">
                  <c:v>1,75</c:v>
                </c:pt>
                <c:pt idx="1">
                  <c:v>2,5</c:v>
                </c:pt>
                <c:pt idx="2">
                  <c:v>2,75</c:v>
                </c:pt>
                <c:pt idx="3">
                  <c:v>3</c:v>
                </c:pt>
                <c:pt idx="4">
                  <c:v>3,25</c:v>
                </c:pt>
                <c:pt idx="5">
                  <c:v>3,5</c:v>
                </c:pt>
                <c:pt idx="6">
                  <c:v>3,75</c:v>
                </c:pt>
                <c:pt idx="7">
                  <c:v>4</c:v>
                </c:pt>
                <c:pt idx="8">
                  <c:v>4,25</c:v>
                </c:pt>
                <c:pt idx="9">
                  <c:v>4,5</c:v>
                </c:pt>
                <c:pt idx="10">
                  <c:v>4,75</c:v>
                </c:pt>
                <c:pt idx="11">
                  <c:v>5</c:v>
                </c:pt>
              </c:strCache>
            </c:strRef>
          </c:cat>
          <c:val>
            <c:numRef>
              <c:f>'TT-Achievement striving'!$C$2:$C$14</c:f>
              <c:numCache>
                <c:formatCode>General</c:formatCode>
                <c:ptCount val="12"/>
                <c:pt idx="0">
                  <c:v>0.24545454545454545</c:v>
                </c:pt>
                <c:pt idx="1">
                  <c:v>0.2368006993006993</c:v>
                </c:pt>
                <c:pt idx="2">
                  <c:v>0.92954545454545456</c:v>
                </c:pt>
                <c:pt idx="3">
                  <c:v>0.36363636363636365</c:v>
                </c:pt>
                <c:pt idx="4">
                  <c:v>0.4963636363636364</c:v>
                </c:pt>
                <c:pt idx="5">
                  <c:v>0.62499999999999989</c:v>
                </c:pt>
                <c:pt idx="6">
                  <c:v>0.54621212121212115</c:v>
                </c:pt>
                <c:pt idx="7">
                  <c:v>0.5714285714285714</c:v>
                </c:pt>
                <c:pt idx="8">
                  <c:v>0.58235294117647063</c:v>
                </c:pt>
                <c:pt idx="9">
                  <c:v>0.60136363636363632</c:v>
                </c:pt>
                <c:pt idx="10">
                  <c:v>0.57272727272727275</c:v>
                </c:pt>
                <c:pt idx="11">
                  <c:v>0.55999999999999994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9B7-456D-A8D5-9CB4C3D1D53A}"/>
            </c:ext>
          </c:extLst>
        </c:ser>
        <c:ser>
          <c:idx val="2"/>
          <c:order val="2"/>
          <c:tx>
            <c:strRef>
              <c:f>'TT-Achievement striving'!$D$1</c:f>
              <c:strCache>
                <c:ptCount val="1"/>
                <c:pt idx="0">
                  <c:v>Average of AT01_diamonds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'TT-Achievement striving'!$A$2:$A$14</c:f>
              <c:strCache>
                <c:ptCount val="12"/>
                <c:pt idx="0">
                  <c:v>1,75</c:v>
                </c:pt>
                <c:pt idx="1">
                  <c:v>2,5</c:v>
                </c:pt>
                <c:pt idx="2">
                  <c:v>2,75</c:v>
                </c:pt>
                <c:pt idx="3">
                  <c:v>3</c:v>
                </c:pt>
                <c:pt idx="4">
                  <c:v>3,25</c:v>
                </c:pt>
                <c:pt idx="5">
                  <c:v>3,5</c:v>
                </c:pt>
                <c:pt idx="6">
                  <c:v>3,75</c:v>
                </c:pt>
                <c:pt idx="7">
                  <c:v>4</c:v>
                </c:pt>
                <c:pt idx="8">
                  <c:v>4,25</c:v>
                </c:pt>
                <c:pt idx="9">
                  <c:v>4,5</c:v>
                </c:pt>
                <c:pt idx="10">
                  <c:v>4,75</c:v>
                </c:pt>
                <c:pt idx="11">
                  <c:v>5</c:v>
                </c:pt>
              </c:strCache>
            </c:strRef>
          </c:cat>
          <c:val>
            <c:numRef>
              <c:f>'TT-Achievement striving'!$D$2:$D$14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2.5</c:v>
                </c:pt>
                <c:pt idx="3">
                  <c:v>0</c:v>
                </c:pt>
                <c:pt idx="4">
                  <c:v>0.4</c:v>
                </c:pt>
                <c:pt idx="5">
                  <c:v>1.375</c:v>
                </c:pt>
                <c:pt idx="6">
                  <c:v>0.91666666666666663</c:v>
                </c:pt>
                <c:pt idx="7">
                  <c:v>0.90476190476190477</c:v>
                </c:pt>
                <c:pt idx="8">
                  <c:v>1.1764705882352942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B7-456D-A8D5-9CB4C3D1D53A}"/>
            </c:ext>
          </c:extLst>
        </c:ser>
        <c:ser>
          <c:idx val="3"/>
          <c:order val="3"/>
          <c:tx>
            <c:strRef>
              <c:f>'TT-Achievement striving'!$E$1</c:f>
              <c:strCache>
                <c:ptCount val="1"/>
                <c:pt idx="0">
                  <c:v>Average of AT01_trophies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'TT-Achievement striving'!$A$2:$A$14</c:f>
              <c:strCache>
                <c:ptCount val="12"/>
                <c:pt idx="0">
                  <c:v>1,75</c:v>
                </c:pt>
                <c:pt idx="1">
                  <c:v>2,5</c:v>
                </c:pt>
                <c:pt idx="2">
                  <c:v>2,75</c:v>
                </c:pt>
                <c:pt idx="3">
                  <c:v>3</c:v>
                </c:pt>
                <c:pt idx="4">
                  <c:v>3,25</c:v>
                </c:pt>
                <c:pt idx="5">
                  <c:v>3,5</c:v>
                </c:pt>
                <c:pt idx="6">
                  <c:v>3,75</c:v>
                </c:pt>
                <c:pt idx="7">
                  <c:v>4</c:v>
                </c:pt>
                <c:pt idx="8">
                  <c:v>4,25</c:v>
                </c:pt>
                <c:pt idx="9">
                  <c:v>4,5</c:v>
                </c:pt>
                <c:pt idx="10">
                  <c:v>4,75</c:v>
                </c:pt>
                <c:pt idx="11">
                  <c:v>5</c:v>
                </c:pt>
              </c:strCache>
            </c:strRef>
          </c:cat>
          <c:val>
            <c:numRef>
              <c:f>'TT-Achievement striving'!$E$2:$E$14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2.25</c:v>
                </c:pt>
                <c:pt idx="3">
                  <c:v>0</c:v>
                </c:pt>
                <c:pt idx="4">
                  <c:v>0.3</c:v>
                </c:pt>
                <c:pt idx="5">
                  <c:v>1.375</c:v>
                </c:pt>
                <c:pt idx="6">
                  <c:v>0.75</c:v>
                </c:pt>
                <c:pt idx="7">
                  <c:v>0.8571428571428571</c:v>
                </c:pt>
                <c:pt idx="8">
                  <c:v>1.1764705882352942</c:v>
                </c:pt>
                <c:pt idx="9">
                  <c:v>0.7</c:v>
                </c:pt>
                <c:pt idx="10">
                  <c:v>0.88888888888888884</c:v>
                </c:pt>
                <c:pt idx="11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9B7-456D-A8D5-9CB4C3D1D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014640"/>
        <c:axId val="1723868272"/>
      </c:lineChart>
      <c:catAx>
        <c:axId val="182601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23868272"/>
        <c:crosses val="autoZero"/>
        <c:auto val="1"/>
        <c:lblAlgn val="ctr"/>
        <c:lblOffset val="100"/>
        <c:noMultiLvlLbl val="0"/>
      </c:catAx>
      <c:valAx>
        <c:axId val="1723868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26014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[AppendixB-fulldataset.xlsx]TT-2attempts!PivotTable1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1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dLblPos val="inEnd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  <c:pivotFmt>
        <c:idx val="2"/>
        <c:spPr>
          <a:solidFill>
            <a:schemeClr val="accent1"/>
          </a:solidFill>
          <a:ln>
            <a:noFill/>
          </a:ln>
          <a:effectLst/>
          <a:scene3d>
            <a:camera prst="orthographicFront"/>
            <a:lightRig rig="brightRoom" dir="t"/>
          </a:scene3d>
          <a:sp3d prstMaterial="flat">
            <a:bevelT w="50800" h="101600" prst="angle"/>
            <a:contourClr>
              <a:srgbClr val="000000"/>
            </a:contourClr>
          </a:sp3d>
        </c:spPr>
      </c:pivotFmt>
    </c:pivotFmts>
    <c:plotArea>
      <c:layout/>
      <c:pieChart>
        <c:varyColors val="1"/>
        <c:ser>
          <c:idx val="0"/>
          <c:order val="0"/>
          <c:tx>
            <c:strRef>
              <c:f>'TT-2attempts'!$B$1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CCB-4049-835A-341F7ACFAC8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CCB-4049-835A-341F7ACFAC8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'TT-2attempts'!$A$2:$A$4</c:f>
              <c:strCache>
                <c:ptCount val="2"/>
                <c:pt idx="0">
                  <c:v>0</c:v>
                </c:pt>
                <c:pt idx="1">
                  <c:v>1</c:v>
                </c:pt>
              </c:strCache>
            </c:strRef>
          </c:cat>
          <c:val>
            <c:numRef>
              <c:f>'TT-2attempts'!$B$2:$B$4</c:f>
              <c:numCache>
                <c:formatCode>General</c:formatCode>
                <c:ptCount val="2"/>
                <c:pt idx="0">
                  <c:v>86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5D-4AFA-88C0-E3CAF2B662C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[AppendixB-fulldataset.xlsx]WW-HardPathsC6!PivotTable1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'WW-HardPathsC6'!$B$1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'WW-HardPathsC6'!$A$2:$A$16</c:f>
              <c:strCache>
                <c:ptCount val="14"/>
                <c:pt idx="0">
                  <c:v>1,75</c:v>
                </c:pt>
                <c:pt idx="1">
                  <c:v>2</c:v>
                </c:pt>
                <c:pt idx="2">
                  <c:v>2,25</c:v>
                </c:pt>
                <c:pt idx="3">
                  <c:v>2,5</c:v>
                </c:pt>
                <c:pt idx="4">
                  <c:v>2,75</c:v>
                </c:pt>
                <c:pt idx="5">
                  <c:v>3</c:v>
                </c:pt>
                <c:pt idx="6">
                  <c:v>3,25</c:v>
                </c:pt>
                <c:pt idx="7">
                  <c:v>3,5</c:v>
                </c:pt>
                <c:pt idx="8">
                  <c:v>3,75</c:v>
                </c:pt>
                <c:pt idx="9">
                  <c:v>4</c:v>
                </c:pt>
                <c:pt idx="10">
                  <c:v>4,25</c:v>
                </c:pt>
                <c:pt idx="11">
                  <c:v>4,5</c:v>
                </c:pt>
                <c:pt idx="12">
                  <c:v>4,75</c:v>
                </c:pt>
                <c:pt idx="13">
                  <c:v>5</c:v>
                </c:pt>
              </c:strCache>
            </c:strRef>
          </c:cat>
          <c:val>
            <c:numRef>
              <c:f>'WW-HardPathsC6'!$B$2:$B$16</c:f>
              <c:numCache>
                <c:formatCode>General</c:formatCode>
                <c:ptCount val="14"/>
                <c:pt idx="0">
                  <c:v>0.25</c:v>
                </c:pt>
                <c:pt idx="1">
                  <c:v>0.15625</c:v>
                </c:pt>
                <c:pt idx="2">
                  <c:v>0.1875</c:v>
                </c:pt>
                <c:pt idx="3">
                  <c:v>0.3125</c:v>
                </c:pt>
                <c:pt idx="4">
                  <c:v>0.375</c:v>
                </c:pt>
                <c:pt idx="5">
                  <c:v>0.35416666666666669</c:v>
                </c:pt>
                <c:pt idx="6">
                  <c:v>0.3125</c:v>
                </c:pt>
                <c:pt idx="7">
                  <c:v>0.33333333333333331</c:v>
                </c:pt>
                <c:pt idx="8">
                  <c:v>0.34375</c:v>
                </c:pt>
                <c:pt idx="9">
                  <c:v>0.3125</c:v>
                </c:pt>
                <c:pt idx="10">
                  <c:v>0.29807692307692307</c:v>
                </c:pt>
                <c:pt idx="11">
                  <c:v>0.21249999999999999</c:v>
                </c:pt>
                <c:pt idx="12">
                  <c:v>0.32500000000000001</c:v>
                </c:pt>
                <c:pt idx="13">
                  <c:v>0.27083333333333331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AD-4E5E-BC53-F3CB135C5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191888"/>
        <c:axId val="119745200"/>
      </c:lineChart>
      <c:catAx>
        <c:axId val="13619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9745200"/>
        <c:crosses val="autoZero"/>
        <c:auto val="1"/>
        <c:lblAlgn val="ctr"/>
        <c:lblOffset val="100"/>
        <c:noMultiLvlLbl val="0"/>
      </c:catAx>
      <c:valAx>
        <c:axId val="11974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619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[AppendixB-fulldataset.xlsx]WW-HardPathsN2!PivotTable2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'WW-HardPathsN2'!$B$1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'WW-HardPathsN2'!$A$2:$A$18</c:f>
              <c:strCache>
                <c:ptCount val="16"/>
                <c:pt idx="0">
                  <c:v>1</c:v>
                </c:pt>
                <c:pt idx="1">
                  <c:v>1,25</c:v>
                </c:pt>
                <c:pt idx="2">
                  <c:v>1,5</c:v>
                </c:pt>
                <c:pt idx="3">
                  <c:v>1,75</c:v>
                </c:pt>
                <c:pt idx="4">
                  <c:v>2</c:v>
                </c:pt>
                <c:pt idx="5">
                  <c:v>2,25</c:v>
                </c:pt>
                <c:pt idx="6">
                  <c:v>2,5</c:v>
                </c:pt>
                <c:pt idx="7">
                  <c:v>2,75</c:v>
                </c:pt>
                <c:pt idx="8">
                  <c:v>3</c:v>
                </c:pt>
                <c:pt idx="9">
                  <c:v>3,25</c:v>
                </c:pt>
                <c:pt idx="10">
                  <c:v>3,5</c:v>
                </c:pt>
                <c:pt idx="11">
                  <c:v>3,75</c:v>
                </c:pt>
                <c:pt idx="12">
                  <c:v>4</c:v>
                </c:pt>
                <c:pt idx="13">
                  <c:v>4,25</c:v>
                </c:pt>
                <c:pt idx="14">
                  <c:v>4,5</c:v>
                </c:pt>
                <c:pt idx="15">
                  <c:v>4,75</c:v>
                </c:pt>
              </c:strCache>
            </c:strRef>
          </c:cat>
          <c:val>
            <c:numRef>
              <c:f>'WW-HardPathsN2'!$B$2:$B$18</c:f>
              <c:numCache>
                <c:formatCode>General</c:formatCode>
                <c:ptCount val="16"/>
                <c:pt idx="0">
                  <c:v>0.45</c:v>
                </c:pt>
                <c:pt idx="1">
                  <c:v>0.375</c:v>
                </c:pt>
                <c:pt idx="2">
                  <c:v>0.4</c:v>
                </c:pt>
                <c:pt idx="3">
                  <c:v>0.46875</c:v>
                </c:pt>
                <c:pt idx="4">
                  <c:v>0.25</c:v>
                </c:pt>
                <c:pt idx="5">
                  <c:v>0.26923076923076922</c:v>
                </c:pt>
                <c:pt idx="6">
                  <c:v>0.29166666666666669</c:v>
                </c:pt>
                <c:pt idx="7">
                  <c:v>0.39285714285714285</c:v>
                </c:pt>
                <c:pt idx="8">
                  <c:v>0.25</c:v>
                </c:pt>
                <c:pt idx="9">
                  <c:v>0.25</c:v>
                </c:pt>
                <c:pt idx="10">
                  <c:v>0.1875</c:v>
                </c:pt>
                <c:pt idx="11">
                  <c:v>0.375</c:v>
                </c:pt>
                <c:pt idx="12">
                  <c:v>0.27500000000000002</c:v>
                </c:pt>
                <c:pt idx="13">
                  <c:v>0.1875</c:v>
                </c:pt>
                <c:pt idx="14">
                  <c:v>0.25</c:v>
                </c:pt>
                <c:pt idx="15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41-448F-865E-A051A8326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8623792"/>
        <c:axId val="173276528"/>
      </c:lineChart>
      <c:catAx>
        <c:axId val="192862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3276528"/>
        <c:crosses val="autoZero"/>
        <c:auto val="1"/>
        <c:lblAlgn val="ctr"/>
        <c:lblOffset val="100"/>
        <c:noMultiLvlLbl val="0"/>
      </c:catAx>
      <c:valAx>
        <c:axId val="173276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928623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[AppendixB-fulldataset.xlsx]WW-HardPathA5!PivotTable3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ivotFmts>
      <c:pivotFmt>
        <c:idx val="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'WW-HardPathA5'!$B$1</c:f>
              <c:strCache>
                <c:ptCount val="1"/>
                <c:pt idx="0">
                  <c:v>Total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'WW-HardPathA5'!$A$2:$A$16</c:f>
              <c:strCache>
                <c:ptCount val="14"/>
                <c:pt idx="0">
                  <c:v>1,75</c:v>
                </c:pt>
                <c:pt idx="1">
                  <c:v>2</c:v>
                </c:pt>
                <c:pt idx="2">
                  <c:v>2,25</c:v>
                </c:pt>
                <c:pt idx="3">
                  <c:v>2,5</c:v>
                </c:pt>
                <c:pt idx="4">
                  <c:v>2,75</c:v>
                </c:pt>
                <c:pt idx="5">
                  <c:v>3</c:v>
                </c:pt>
                <c:pt idx="6">
                  <c:v>3,25</c:v>
                </c:pt>
                <c:pt idx="7">
                  <c:v>3,5</c:v>
                </c:pt>
                <c:pt idx="8">
                  <c:v>3,75</c:v>
                </c:pt>
                <c:pt idx="9">
                  <c:v>4</c:v>
                </c:pt>
                <c:pt idx="10">
                  <c:v>4,25</c:v>
                </c:pt>
                <c:pt idx="11">
                  <c:v>4,5</c:v>
                </c:pt>
                <c:pt idx="12">
                  <c:v>4,75</c:v>
                </c:pt>
                <c:pt idx="13">
                  <c:v>5</c:v>
                </c:pt>
              </c:strCache>
            </c:strRef>
          </c:cat>
          <c:val>
            <c:numRef>
              <c:f>'WW-HardPathA5'!$B$2:$B$16</c:f>
              <c:numCache>
                <c:formatCode>General</c:formatCode>
                <c:ptCount val="14"/>
                <c:pt idx="0">
                  <c:v>0.375</c:v>
                </c:pt>
                <c:pt idx="1">
                  <c:v>0.41666666666666669</c:v>
                </c:pt>
                <c:pt idx="2">
                  <c:v>0.375</c:v>
                </c:pt>
                <c:pt idx="3">
                  <c:v>0.359375</c:v>
                </c:pt>
                <c:pt idx="4">
                  <c:v>0.375</c:v>
                </c:pt>
                <c:pt idx="5">
                  <c:v>0.375</c:v>
                </c:pt>
                <c:pt idx="6">
                  <c:v>0.375</c:v>
                </c:pt>
                <c:pt idx="7">
                  <c:v>0.23529411764705882</c:v>
                </c:pt>
                <c:pt idx="8">
                  <c:v>0.28125</c:v>
                </c:pt>
                <c:pt idx="9">
                  <c:v>0.23529411764705882</c:v>
                </c:pt>
                <c:pt idx="10">
                  <c:v>0.35</c:v>
                </c:pt>
                <c:pt idx="11">
                  <c:v>0.1875</c:v>
                </c:pt>
                <c:pt idx="12">
                  <c:v>0.20833333333333334</c:v>
                </c:pt>
                <c:pt idx="13">
                  <c:v>0.5625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99-4B35-A6BE-62B44D3FD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192848"/>
        <c:axId val="174700672"/>
      </c:lineChart>
      <c:catAx>
        <c:axId val="136192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4700672"/>
        <c:crosses val="autoZero"/>
        <c:auto val="1"/>
        <c:lblAlgn val="ctr"/>
        <c:lblOffset val="100"/>
        <c:noMultiLvlLbl val="0"/>
      </c:catAx>
      <c:valAx>
        <c:axId val="174700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36192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[AppendixB-fulldataset.xlsx]WW-GaveUpHardPath!PivotTable1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'WW-GaveUpHardPath'!$B$1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'WW-GaveUpHardPath'!$A$2:$A$16</c:f>
              <c:strCache>
                <c:ptCount val="14"/>
                <c:pt idx="0">
                  <c:v>1,75</c:v>
                </c:pt>
                <c:pt idx="1">
                  <c:v>2</c:v>
                </c:pt>
                <c:pt idx="2">
                  <c:v>2,25</c:v>
                </c:pt>
                <c:pt idx="3">
                  <c:v>2,5</c:v>
                </c:pt>
                <c:pt idx="4">
                  <c:v>2,75</c:v>
                </c:pt>
                <c:pt idx="5">
                  <c:v>3</c:v>
                </c:pt>
                <c:pt idx="6">
                  <c:v>3,25</c:v>
                </c:pt>
                <c:pt idx="7">
                  <c:v>3,5</c:v>
                </c:pt>
                <c:pt idx="8">
                  <c:v>3,75</c:v>
                </c:pt>
                <c:pt idx="9">
                  <c:v>4</c:v>
                </c:pt>
                <c:pt idx="10">
                  <c:v>4,25</c:v>
                </c:pt>
                <c:pt idx="11">
                  <c:v>4,5</c:v>
                </c:pt>
                <c:pt idx="12">
                  <c:v>4,75</c:v>
                </c:pt>
                <c:pt idx="13">
                  <c:v>5</c:v>
                </c:pt>
              </c:strCache>
            </c:strRef>
          </c:cat>
          <c:val>
            <c:numRef>
              <c:f>'WW-GaveUpHardPath'!$B$2:$B$16</c:f>
              <c:numCache>
                <c:formatCode>General</c:formatCode>
                <c:ptCount val="14"/>
                <c:pt idx="0">
                  <c:v>1</c:v>
                </c:pt>
                <c:pt idx="1">
                  <c:v>0.5</c:v>
                </c:pt>
                <c:pt idx="2">
                  <c:v>1.5</c:v>
                </c:pt>
                <c:pt idx="3">
                  <c:v>1</c:v>
                </c:pt>
                <c:pt idx="4">
                  <c:v>1.6</c:v>
                </c:pt>
                <c:pt idx="5">
                  <c:v>0.83333333333333337</c:v>
                </c:pt>
                <c:pt idx="6">
                  <c:v>1.5</c:v>
                </c:pt>
                <c:pt idx="7">
                  <c:v>1.1666666666666667</c:v>
                </c:pt>
                <c:pt idx="8">
                  <c:v>1</c:v>
                </c:pt>
                <c:pt idx="9">
                  <c:v>1.1875</c:v>
                </c:pt>
                <c:pt idx="10">
                  <c:v>0.76923076923076927</c:v>
                </c:pt>
                <c:pt idx="11">
                  <c:v>0.6</c:v>
                </c:pt>
                <c:pt idx="12">
                  <c:v>0.6</c:v>
                </c:pt>
                <c:pt idx="1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78-4FB4-A10F-FC2CA2221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673872"/>
        <c:axId val="1107642272"/>
      </c:lineChart>
      <c:catAx>
        <c:axId val="170867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07642272"/>
        <c:crosses val="autoZero"/>
        <c:auto val="1"/>
        <c:lblAlgn val="ctr"/>
        <c:lblOffset val="100"/>
        <c:noMultiLvlLbl val="0"/>
      </c:catAx>
      <c:valAx>
        <c:axId val="110764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08673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[AppendixB-fulldataset.xlsx]WW-traps!PivotTable2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'WW-traps'!$B$1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'WW-traps'!$A$2:$A$16</c:f>
              <c:strCache>
                <c:ptCount val="14"/>
                <c:pt idx="0">
                  <c:v>1,75</c:v>
                </c:pt>
                <c:pt idx="1">
                  <c:v>2</c:v>
                </c:pt>
                <c:pt idx="2">
                  <c:v>2,25</c:v>
                </c:pt>
                <c:pt idx="3">
                  <c:v>2,5</c:v>
                </c:pt>
                <c:pt idx="4">
                  <c:v>2,75</c:v>
                </c:pt>
                <c:pt idx="5">
                  <c:v>3</c:v>
                </c:pt>
                <c:pt idx="6">
                  <c:v>3,25</c:v>
                </c:pt>
                <c:pt idx="7">
                  <c:v>3,5</c:v>
                </c:pt>
                <c:pt idx="8">
                  <c:v>3,75</c:v>
                </c:pt>
                <c:pt idx="9">
                  <c:v>4</c:v>
                </c:pt>
                <c:pt idx="10">
                  <c:v>4,25</c:v>
                </c:pt>
                <c:pt idx="11">
                  <c:v>4,5</c:v>
                </c:pt>
                <c:pt idx="12">
                  <c:v>4,75</c:v>
                </c:pt>
                <c:pt idx="13">
                  <c:v>5</c:v>
                </c:pt>
              </c:strCache>
            </c:strRef>
          </c:cat>
          <c:val>
            <c:numRef>
              <c:f>'WW-traps'!$B$2:$B$16</c:f>
              <c:numCache>
                <c:formatCode>General</c:formatCode>
                <c:ptCount val="14"/>
                <c:pt idx="0">
                  <c:v>0.2</c:v>
                </c:pt>
                <c:pt idx="1">
                  <c:v>0.4</c:v>
                </c:pt>
                <c:pt idx="2">
                  <c:v>0.4</c:v>
                </c:pt>
                <c:pt idx="3">
                  <c:v>0.2</c:v>
                </c:pt>
                <c:pt idx="4">
                  <c:v>0.4</c:v>
                </c:pt>
                <c:pt idx="5">
                  <c:v>1.2</c:v>
                </c:pt>
                <c:pt idx="6">
                  <c:v>1.8</c:v>
                </c:pt>
                <c:pt idx="7">
                  <c:v>1</c:v>
                </c:pt>
                <c:pt idx="8">
                  <c:v>4</c:v>
                </c:pt>
                <c:pt idx="9">
                  <c:v>3.0000000000000004</c:v>
                </c:pt>
                <c:pt idx="10">
                  <c:v>3</c:v>
                </c:pt>
                <c:pt idx="11">
                  <c:v>1.4000000000000001</c:v>
                </c:pt>
                <c:pt idx="12">
                  <c:v>0.60000000000000009</c:v>
                </c:pt>
                <c:pt idx="13">
                  <c:v>0.60000000000000009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51-4F17-ABDD-55C4C85A2B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7586960"/>
        <c:axId val="61231904"/>
      </c:lineChart>
      <c:catAx>
        <c:axId val="327586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1231904"/>
        <c:crosses val="autoZero"/>
        <c:auto val="1"/>
        <c:lblAlgn val="ctr"/>
        <c:lblOffset val="100"/>
        <c:noMultiLvlLbl val="0"/>
      </c:catAx>
      <c:valAx>
        <c:axId val="6123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327586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[AppendixB-fulldataset.xlsx]TT-Anger!PivotTable1</c:name>
    <c:fmtId val="0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'TT-Anger'!$B$1</c:f>
              <c:strCache>
                <c:ptCount val="1"/>
                <c:pt idx="0">
                  <c:v>Average of AT01_trophies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'TT-Anger'!$A$2:$A$18</c:f>
              <c:strCache>
                <c:ptCount val="16"/>
                <c:pt idx="0">
                  <c:v>1</c:v>
                </c:pt>
                <c:pt idx="1">
                  <c:v>1,25</c:v>
                </c:pt>
                <c:pt idx="2">
                  <c:v>1,5</c:v>
                </c:pt>
                <c:pt idx="3">
                  <c:v>1,75</c:v>
                </c:pt>
                <c:pt idx="4">
                  <c:v>2</c:v>
                </c:pt>
                <c:pt idx="5">
                  <c:v>2,25</c:v>
                </c:pt>
                <c:pt idx="6">
                  <c:v>2,5</c:v>
                </c:pt>
                <c:pt idx="7">
                  <c:v>2,75</c:v>
                </c:pt>
                <c:pt idx="8">
                  <c:v>3</c:v>
                </c:pt>
                <c:pt idx="9">
                  <c:v>3,25</c:v>
                </c:pt>
                <c:pt idx="10">
                  <c:v>3,5</c:v>
                </c:pt>
                <c:pt idx="11">
                  <c:v>3,75</c:v>
                </c:pt>
                <c:pt idx="12">
                  <c:v>4</c:v>
                </c:pt>
                <c:pt idx="13">
                  <c:v>4,25</c:v>
                </c:pt>
                <c:pt idx="14">
                  <c:v>4,5</c:v>
                </c:pt>
                <c:pt idx="15">
                  <c:v>4,75</c:v>
                </c:pt>
              </c:strCache>
            </c:strRef>
          </c:cat>
          <c:val>
            <c:numRef>
              <c:f>'TT-Anger'!$B$2:$B$18</c:f>
              <c:numCache>
                <c:formatCode>General</c:formatCode>
                <c:ptCount val="16"/>
                <c:pt idx="0">
                  <c:v>2.2000000000000002</c:v>
                </c:pt>
                <c:pt idx="1">
                  <c:v>1</c:v>
                </c:pt>
                <c:pt idx="2">
                  <c:v>1.6</c:v>
                </c:pt>
                <c:pt idx="3">
                  <c:v>1.25</c:v>
                </c:pt>
                <c:pt idx="4">
                  <c:v>0.53846153846153844</c:v>
                </c:pt>
                <c:pt idx="5">
                  <c:v>0.92307692307692313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0.5</c:v>
                </c:pt>
                <c:pt idx="10">
                  <c:v>0.75</c:v>
                </c:pt>
                <c:pt idx="11">
                  <c:v>1</c:v>
                </c:pt>
                <c:pt idx="12">
                  <c:v>0.2</c:v>
                </c:pt>
                <c:pt idx="13">
                  <c:v>0.83333333333333337</c:v>
                </c:pt>
                <c:pt idx="14">
                  <c:v>0.6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34A-414D-9D69-E89A5208E941}"/>
            </c:ext>
          </c:extLst>
        </c:ser>
        <c:ser>
          <c:idx val="1"/>
          <c:order val="1"/>
          <c:tx>
            <c:strRef>
              <c:f>'TT-Anger'!$C$1</c:f>
              <c:strCache>
                <c:ptCount val="1"/>
                <c:pt idx="0">
                  <c:v>Average of AT01_diamonds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'TT-Anger'!$A$2:$A$18</c:f>
              <c:strCache>
                <c:ptCount val="16"/>
                <c:pt idx="0">
                  <c:v>1</c:v>
                </c:pt>
                <c:pt idx="1">
                  <c:v>1,25</c:v>
                </c:pt>
                <c:pt idx="2">
                  <c:v>1,5</c:v>
                </c:pt>
                <c:pt idx="3">
                  <c:v>1,75</c:v>
                </c:pt>
                <c:pt idx="4">
                  <c:v>2</c:v>
                </c:pt>
                <c:pt idx="5">
                  <c:v>2,25</c:v>
                </c:pt>
                <c:pt idx="6">
                  <c:v>2,5</c:v>
                </c:pt>
                <c:pt idx="7">
                  <c:v>2,75</c:v>
                </c:pt>
                <c:pt idx="8">
                  <c:v>3</c:v>
                </c:pt>
                <c:pt idx="9">
                  <c:v>3,25</c:v>
                </c:pt>
                <c:pt idx="10">
                  <c:v>3,5</c:v>
                </c:pt>
                <c:pt idx="11">
                  <c:v>3,75</c:v>
                </c:pt>
                <c:pt idx="12">
                  <c:v>4</c:v>
                </c:pt>
                <c:pt idx="13">
                  <c:v>4,25</c:v>
                </c:pt>
                <c:pt idx="14">
                  <c:v>4,5</c:v>
                </c:pt>
                <c:pt idx="15">
                  <c:v>4,75</c:v>
                </c:pt>
              </c:strCache>
            </c:strRef>
          </c:cat>
          <c:val>
            <c:numRef>
              <c:f>'TT-Anger'!$C$2:$C$18</c:f>
              <c:numCache>
                <c:formatCode>General</c:formatCode>
                <c:ptCount val="16"/>
                <c:pt idx="0">
                  <c:v>2.2000000000000002</c:v>
                </c:pt>
                <c:pt idx="1">
                  <c:v>1</c:v>
                </c:pt>
                <c:pt idx="2">
                  <c:v>1.8</c:v>
                </c:pt>
                <c:pt idx="3">
                  <c:v>1.25</c:v>
                </c:pt>
                <c:pt idx="4">
                  <c:v>0.53846153846153844</c:v>
                </c:pt>
                <c:pt idx="5">
                  <c:v>1</c:v>
                </c:pt>
                <c:pt idx="6">
                  <c:v>1.2</c:v>
                </c:pt>
                <c:pt idx="7">
                  <c:v>1</c:v>
                </c:pt>
                <c:pt idx="8">
                  <c:v>1</c:v>
                </c:pt>
                <c:pt idx="9">
                  <c:v>1.5</c:v>
                </c:pt>
                <c:pt idx="10">
                  <c:v>0.75</c:v>
                </c:pt>
                <c:pt idx="11">
                  <c:v>1.25</c:v>
                </c:pt>
                <c:pt idx="12">
                  <c:v>0.3</c:v>
                </c:pt>
                <c:pt idx="13">
                  <c:v>0.83333333333333337</c:v>
                </c:pt>
                <c:pt idx="14">
                  <c:v>0.8</c:v>
                </c:pt>
                <c:pt idx="1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34A-414D-9D69-E89A5208E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575808"/>
        <c:axId val="1722149568"/>
      </c:lineChart>
      <c:catAx>
        <c:axId val="14857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22149568"/>
        <c:crosses val="autoZero"/>
        <c:auto val="1"/>
        <c:lblAlgn val="ctr"/>
        <c:lblOffset val="100"/>
        <c:noMultiLvlLbl val="0"/>
      </c:catAx>
      <c:valAx>
        <c:axId val="172214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48575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[AppendixB-fulldataset.xlsx]TT-Friendliness!PivotTable2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'TT-Friendliness'!$B$1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'TT-Friendliness'!$A$2:$A$17</c:f>
              <c:strCache>
                <c:ptCount val="15"/>
                <c:pt idx="0">
                  <c:v>1,25</c:v>
                </c:pt>
                <c:pt idx="1">
                  <c:v>1,5</c:v>
                </c:pt>
                <c:pt idx="2">
                  <c:v>1,75</c:v>
                </c:pt>
                <c:pt idx="3">
                  <c:v>2,25</c:v>
                </c:pt>
                <c:pt idx="4">
                  <c:v>2,5</c:v>
                </c:pt>
                <c:pt idx="5">
                  <c:v>2,75</c:v>
                </c:pt>
                <c:pt idx="6">
                  <c:v>3</c:v>
                </c:pt>
                <c:pt idx="7">
                  <c:v>3,25</c:v>
                </c:pt>
                <c:pt idx="8">
                  <c:v>3,5</c:v>
                </c:pt>
                <c:pt idx="9">
                  <c:v>3,75</c:v>
                </c:pt>
                <c:pt idx="10">
                  <c:v>4</c:v>
                </c:pt>
                <c:pt idx="11">
                  <c:v>4,25</c:v>
                </c:pt>
                <c:pt idx="12">
                  <c:v>4,5</c:v>
                </c:pt>
                <c:pt idx="13">
                  <c:v>4,75</c:v>
                </c:pt>
                <c:pt idx="14">
                  <c:v>5</c:v>
                </c:pt>
              </c:strCache>
            </c:strRef>
          </c:cat>
          <c:val>
            <c:numRef>
              <c:f>'TT-Friendliness'!$B$2:$B$17</c:f>
              <c:numCache>
                <c:formatCode>General</c:formatCode>
                <c:ptCount val="15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0.6</c:v>
                </c:pt>
                <c:pt idx="5">
                  <c:v>0.6</c:v>
                </c:pt>
                <c:pt idx="6">
                  <c:v>0.58333333333333337</c:v>
                </c:pt>
                <c:pt idx="7">
                  <c:v>0.8</c:v>
                </c:pt>
                <c:pt idx="8">
                  <c:v>1.1428571428571428</c:v>
                </c:pt>
                <c:pt idx="9">
                  <c:v>0.76923076923076927</c:v>
                </c:pt>
                <c:pt idx="10">
                  <c:v>0.875</c:v>
                </c:pt>
                <c:pt idx="11">
                  <c:v>1.0909090909090908</c:v>
                </c:pt>
                <c:pt idx="12">
                  <c:v>1.2857142857142858</c:v>
                </c:pt>
                <c:pt idx="13">
                  <c:v>1</c:v>
                </c:pt>
                <c:pt idx="1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43-490A-96B9-2BAA018EA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002160"/>
        <c:axId val="1723864304"/>
      </c:lineChart>
      <c:catAx>
        <c:axId val="182600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23864304"/>
        <c:crosses val="autoZero"/>
        <c:auto val="1"/>
        <c:lblAlgn val="ctr"/>
        <c:lblOffset val="100"/>
        <c:noMultiLvlLbl val="0"/>
      </c:catAx>
      <c:valAx>
        <c:axId val="172386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26002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[AppendixB-fulldataset.xlsx]TT-Excitement seeking!PivotTable3</c:name>
    <c:fmtId val="0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3"/>
            </a:solidFill>
            <a:ln w="9525">
              <a:solidFill>
                <a:schemeClr val="accent3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4"/>
            </a:solidFill>
            <a:ln w="9525">
              <a:solidFill>
                <a:schemeClr val="accent4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'TT-Excitement seeking'!$B$1</c:f>
              <c:strCache>
                <c:ptCount val="1"/>
                <c:pt idx="0">
                  <c:v>Sum of AT01_trophies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'TT-Excitement seeking'!$A$2:$A$14</c:f>
              <c:strCache>
                <c:ptCount val="12"/>
                <c:pt idx="0">
                  <c:v>1,5</c:v>
                </c:pt>
                <c:pt idx="1">
                  <c:v>1,75</c:v>
                </c:pt>
                <c:pt idx="2">
                  <c:v>2</c:v>
                </c:pt>
                <c:pt idx="3">
                  <c:v>2,25</c:v>
                </c:pt>
                <c:pt idx="4">
                  <c:v>2,5</c:v>
                </c:pt>
                <c:pt idx="5">
                  <c:v>2,75</c:v>
                </c:pt>
                <c:pt idx="6">
                  <c:v>3</c:v>
                </c:pt>
                <c:pt idx="7">
                  <c:v>3,25</c:v>
                </c:pt>
                <c:pt idx="8">
                  <c:v>3,5</c:v>
                </c:pt>
                <c:pt idx="9">
                  <c:v>3,75</c:v>
                </c:pt>
                <c:pt idx="10">
                  <c:v>4</c:v>
                </c:pt>
                <c:pt idx="11">
                  <c:v>4,5</c:v>
                </c:pt>
              </c:strCache>
            </c:strRef>
          </c:cat>
          <c:val>
            <c:numRef>
              <c:f>'TT-Excitement seeking'!$B$2:$B$14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10</c:v>
                </c:pt>
                <c:pt idx="4">
                  <c:v>7</c:v>
                </c:pt>
                <c:pt idx="5">
                  <c:v>5</c:v>
                </c:pt>
                <c:pt idx="6">
                  <c:v>9</c:v>
                </c:pt>
                <c:pt idx="7">
                  <c:v>14</c:v>
                </c:pt>
                <c:pt idx="8">
                  <c:v>17</c:v>
                </c:pt>
                <c:pt idx="9">
                  <c:v>9</c:v>
                </c:pt>
                <c:pt idx="10">
                  <c:v>9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19-4921-8972-C05E7768BDDD}"/>
            </c:ext>
          </c:extLst>
        </c:ser>
        <c:ser>
          <c:idx val="1"/>
          <c:order val="1"/>
          <c:tx>
            <c:strRef>
              <c:f>'TT-Excitement seeking'!$C$1</c:f>
              <c:strCache>
                <c:ptCount val="1"/>
                <c:pt idx="0">
                  <c:v>Sum of AT01_diamonds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'TT-Excitement seeking'!$A$2:$A$14</c:f>
              <c:strCache>
                <c:ptCount val="12"/>
                <c:pt idx="0">
                  <c:v>1,5</c:v>
                </c:pt>
                <c:pt idx="1">
                  <c:v>1,75</c:v>
                </c:pt>
                <c:pt idx="2">
                  <c:v>2</c:v>
                </c:pt>
                <c:pt idx="3">
                  <c:v>2,25</c:v>
                </c:pt>
                <c:pt idx="4">
                  <c:v>2,5</c:v>
                </c:pt>
                <c:pt idx="5">
                  <c:v>2,75</c:v>
                </c:pt>
                <c:pt idx="6">
                  <c:v>3</c:v>
                </c:pt>
                <c:pt idx="7">
                  <c:v>3,25</c:v>
                </c:pt>
                <c:pt idx="8">
                  <c:v>3,5</c:v>
                </c:pt>
                <c:pt idx="9">
                  <c:v>3,75</c:v>
                </c:pt>
                <c:pt idx="10">
                  <c:v>4</c:v>
                </c:pt>
                <c:pt idx="11">
                  <c:v>4,5</c:v>
                </c:pt>
              </c:strCache>
            </c:strRef>
          </c:cat>
          <c:val>
            <c:numRef>
              <c:f>'TT-Excitement seeking'!$C$2:$C$14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10</c:v>
                </c:pt>
                <c:pt idx="4">
                  <c:v>7</c:v>
                </c:pt>
                <c:pt idx="5">
                  <c:v>6</c:v>
                </c:pt>
                <c:pt idx="6">
                  <c:v>13</c:v>
                </c:pt>
                <c:pt idx="7">
                  <c:v>16</c:v>
                </c:pt>
                <c:pt idx="8">
                  <c:v>19</c:v>
                </c:pt>
                <c:pt idx="9">
                  <c:v>10</c:v>
                </c:pt>
                <c:pt idx="10">
                  <c:v>9</c:v>
                </c:pt>
                <c:pt idx="1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19-4921-8972-C05E7768BDDD}"/>
            </c:ext>
          </c:extLst>
        </c:ser>
        <c:ser>
          <c:idx val="2"/>
          <c:order val="2"/>
          <c:tx>
            <c:strRef>
              <c:f>'TT-Excitement seeking'!$D$1</c:f>
              <c:strCache>
                <c:ptCount val="1"/>
                <c:pt idx="0">
                  <c:v>Sum of AT01_totalcoins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'TT-Excitement seeking'!$A$2:$A$14</c:f>
              <c:strCache>
                <c:ptCount val="12"/>
                <c:pt idx="0">
                  <c:v>1,5</c:v>
                </c:pt>
                <c:pt idx="1">
                  <c:v>1,75</c:v>
                </c:pt>
                <c:pt idx="2">
                  <c:v>2</c:v>
                </c:pt>
                <c:pt idx="3">
                  <c:v>2,25</c:v>
                </c:pt>
                <c:pt idx="4">
                  <c:v>2,5</c:v>
                </c:pt>
                <c:pt idx="5">
                  <c:v>2,75</c:v>
                </c:pt>
                <c:pt idx="6">
                  <c:v>3</c:v>
                </c:pt>
                <c:pt idx="7">
                  <c:v>3,25</c:v>
                </c:pt>
                <c:pt idx="8">
                  <c:v>3,5</c:v>
                </c:pt>
                <c:pt idx="9">
                  <c:v>3,75</c:v>
                </c:pt>
                <c:pt idx="10">
                  <c:v>4</c:v>
                </c:pt>
                <c:pt idx="11">
                  <c:v>4,5</c:v>
                </c:pt>
              </c:strCache>
            </c:strRef>
          </c:cat>
          <c:val>
            <c:numRef>
              <c:f>'TT-Excitement seeking'!$D$2:$D$14</c:f>
              <c:numCache>
                <c:formatCode>General</c:formatCode>
                <c:ptCount val="12"/>
                <c:pt idx="0">
                  <c:v>0.18269230769230768</c:v>
                </c:pt>
                <c:pt idx="1">
                  <c:v>0.97272727272727266</c:v>
                </c:pt>
                <c:pt idx="2">
                  <c:v>3.1909090909090909</c:v>
                </c:pt>
                <c:pt idx="3">
                  <c:v>6.4363636363636365</c:v>
                </c:pt>
                <c:pt idx="4">
                  <c:v>6.0272727272727282</c:v>
                </c:pt>
                <c:pt idx="5">
                  <c:v>5.6545454545454543</c:v>
                </c:pt>
                <c:pt idx="6">
                  <c:v>8.7045454545454533</c:v>
                </c:pt>
                <c:pt idx="7">
                  <c:v>8.2727272727272716</c:v>
                </c:pt>
                <c:pt idx="8">
                  <c:v>8</c:v>
                </c:pt>
                <c:pt idx="9">
                  <c:v>5.0545454545454547</c:v>
                </c:pt>
                <c:pt idx="10">
                  <c:v>3.2363636363636363</c:v>
                </c:pt>
                <c:pt idx="11">
                  <c:v>1.4545454545454546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19-4921-8972-C05E7768BDDD}"/>
            </c:ext>
          </c:extLst>
        </c:ser>
        <c:ser>
          <c:idx val="3"/>
          <c:order val="3"/>
          <c:tx>
            <c:strRef>
              <c:f>'TT-Excitement seeking'!$E$1</c:f>
              <c:strCache>
                <c:ptCount val="1"/>
                <c:pt idx="0">
                  <c:v>Sum of AT01_hardcoins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'TT-Excitement seeking'!$A$2:$A$14</c:f>
              <c:strCache>
                <c:ptCount val="12"/>
                <c:pt idx="0">
                  <c:v>1,5</c:v>
                </c:pt>
                <c:pt idx="1">
                  <c:v>1,75</c:v>
                </c:pt>
                <c:pt idx="2">
                  <c:v>2</c:v>
                </c:pt>
                <c:pt idx="3">
                  <c:v>2,25</c:v>
                </c:pt>
                <c:pt idx="4">
                  <c:v>2,5</c:v>
                </c:pt>
                <c:pt idx="5">
                  <c:v>2,75</c:v>
                </c:pt>
                <c:pt idx="6">
                  <c:v>3</c:v>
                </c:pt>
                <c:pt idx="7">
                  <c:v>3,25</c:v>
                </c:pt>
                <c:pt idx="8">
                  <c:v>3,5</c:v>
                </c:pt>
                <c:pt idx="9">
                  <c:v>3,75</c:v>
                </c:pt>
                <c:pt idx="10">
                  <c:v>4</c:v>
                </c:pt>
                <c:pt idx="11">
                  <c:v>4,5</c:v>
                </c:pt>
              </c:strCache>
            </c:strRef>
          </c:cat>
          <c:val>
            <c:numRef>
              <c:f>'TT-Excitement seeking'!$E$2:$E$14</c:f>
              <c:numCache>
                <c:formatCode>General</c:formatCode>
                <c:ptCount val="12"/>
                <c:pt idx="0">
                  <c:v>2.0833333333333332E-2</c:v>
                </c:pt>
                <c:pt idx="1">
                  <c:v>0.64583333333333326</c:v>
                </c:pt>
                <c:pt idx="2">
                  <c:v>2.2083333333333335</c:v>
                </c:pt>
                <c:pt idx="3">
                  <c:v>5.25</c:v>
                </c:pt>
                <c:pt idx="4">
                  <c:v>4.3333333333333321</c:v>
                </c:pt>
                <c:pt idx="5">
                  <c:v>4.1666666666666661</c:v>
                </c:pt>
                <c:pt idx="6">
                  <c:v>6.0458333333333325</c:v>
                </c:pt>
                <c:pt idx="7">
                  <c:v>6.208333333333333</c:v>
                </c:pt>
                <c:pt idx="8">
                  <c:v>6.895833333333333</c:v>
                </c:pt>
                <c:pt idx="9">
                  <c:v>4.375</c:v>
                </c:pt>
                <c:pt idx="10">
                  <c:v>3.020833333333333</c:v>
                </c:pt>
                <c:pt idx="11">
                  <c:v>1.3125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919-4921-8972-C05E7768B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015120"/>
        <c:axId val="1722132704"/>
      </c:lineChart>
      <c:catAx>
        <c:axId val="18260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22132704"/>
        <c:crosses val="autoZero"/>
        <c:auto val="1"/>
        <c:lblAlgn val="ctr"/>
        <c:lblOffset val="100"/>
        <c:noMultiLvlLbl val="0"/>
      </c:catAx>
      <c:valAx>
        <c:axId val="1722132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826015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39370</xdr:colOff>
      <xdr:row>0</xdr:row>
      <xdr:rowOff>46990</xdr:rowOff>
    </xdr:from>
    <xdr:to>
      <xdr:col>16</xdr:col>
      <xdr:colOff>577850</xdr:colOff>
      <xdr:row>33</xdr:row>
      <xdr:rowOff>55880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692264E-B5FC-82A7-F812-E43FA8E283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2</xdr:row>
      <xdr:rowOff>53340</xdr:rowOff>
    </xdr:from>
    <xdr:to>
      <xdr:col>12</xdr:col>
      <xdr:colOff>487680</xdr:colOff>
      <xdr:row>24</xdr:row>
      <xdr:rowOff>137160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C5148BF-8C48-D137-A6D0-9BE580868C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1325880</xdr:colOff>
      <xdr:row>3</xdr:row>
      <xdr:rowOff>152400</xdr:rowOff>
    </xdr:from>
    <xdr:to>
      <xdr:col>11</xdr:col>
      <xdr:colOff>441960</xdr:colOff>
      <xdr:row>27</xdr:row>
      <xdr:rowOff>167640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D4394C-DC99-87D4-47F0-F9AAD4EFF2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510540</xdr:colOff>
      <xdr:row>0</xdr:row>
      <xdr:rowOff>22860</xdr:rowOff>
    </xdr:from>
    <xdr:to>
      <xdr:col>7</xdr:col>
      <xdr:colOff>381000</xdr:colOff>
      <xdr:row>25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A0FD1B-6B12-97FE-6286-DD5B3BA9BD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</xdr:colOff>
      <xdr:row>0</xdr:row>
      <xdr:rowOff>53340</xdr:rowOff>
    </xdr:from>
    <xdr:to>
      <xdr:col>10</xdr:col>
      <xdr:colOff>101600</xdr:colOff>
      <xdr:row>18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FCA4D5-08BA-8CCF-77FE-B25F05EA399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222250</xdr:colOff>
      <xdr:row>0</xdr:row>
      <xdr:rowOff>107950</xdr:rowOff>
    </xdr:from>
    <xdr:to>
      <xdr:col>13</xdr:col>
      <xdr:colOff>254000</xdr:colOff>
      <xdr:row>18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2BF1956-976C-7766-39FC-62FC8765AD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144780</xdr:colOff>
      <xdr:row>0</xdr:row>
      <xdr:rowOff>95250</xdr:rowOff>
    </xdr:from>
    <xdr:to>
      <xdr:col>11</xdr:col>
      <xdr:colOff>205740</xdr:colOff>
      <xdr:row>21</xdr:row>
      <xdr:rowOff>143510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70BCFDE-2469-F24F-2C7F-38CCEBCB399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167640</xdr:colOff>
      <xdr:row>0</xdr:row>
      <xdr:rowOff>30480</xdr:rowOff>
    </xdr:from>
    <xdr:to>
      <xdr:col>12</xdr:col>
      <xdr:colOff>457200</xdr:colOff>
      <xdr:row>23</xdr:row>
      <xdr:rowOff>53340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1AB9A2A-0766-36BB-9766-16B7CF8746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942340</xdr:colOff>
      <xdr:row>0</xdr:row>
      <xdr:rowOff>97790</xdr:rowOff>
    </xdr:from>
    <xdr:to>
      <xdr:col>9</xdr:col>
      <xdr:colOff>114300</xdr:colOff>
      <xdr:row>24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FAD3958-60B7-AF9A-7659-BCBF5AF598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461010</xdr:colOff>
      <xdr:row>0</xdr:row>
      <xdr:rowOff>114300</xdr:rowOff>
    </xdr:from>
    <xdr:to>
      <xdr:col>9</xdr:col>
      <xdr:colOff>426720</xdr:colOff>
      <xdr:row>23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AA02B4-F110-FF2F-8503-47F2033486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96520</xdr:colOff>
      <xdr:row>0</xdr:row>
      <xdr:rowOff>0</xdr:rowOff>
    </xdr:from>
    <xdr:to>
      <xdr:col>14</xdr:col>
      <xdr:colOff>365124</xdr:colOff>
      <xdr:row>20</xdr:row>
      <xdr:rowOff>133033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0810CD-498C-BD3A-D06C-D2DED3DFB8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96520</xdr:colOff>
      <xdr:row>0</xdr:row>
      <xdr:rowOff>27940</xdr:rowOff>
    </xdr:from>
    <xdr:to>
      <xdr:col>11</xdr:col>
      <xdr:colOff>358140</xdr:colOff>
      <xdr:row>18</xdr:row>
      <xdr:rowOff>104140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63B302-CE68-41CA-4E78-A42C1D9387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1</xdr:row>
      <xdr:rowOff>22860</xdr:rowOff>
    </xdr:from>
    <xdr:to>
      <xdr:col>9</xdr:col>
      <xdr:colOff>213360</xdr:colOff>
      <xdr:row>25</xdr:row>
      <xdr:rowOff>7620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57A4F17-5CC5-70A8-9CDD-D54B26B043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trícia Alves" refreshedDate="45304.845197453702" createdVersion="8" refreshedVersion="8" minRefreshableVersion="3" recordCount="100" xr:uid="{5872C9E6-61E5-4BC9-AFDC-73CDB182CBD6}">
  <cacheSource type="worksheet">
    <worksheetSource name="Table1"/>
  </cacheSource>
  <cacheFields count="262">
    <cacheField name="ID" numFmtId="0">
      <sharedItems containsSemiMixedTypes="0" containsString="0" containsNumber="1" containsInteger="1" minValue="2" maxValue="105"/>
    </cacheField>
    <cacheField name="Start time" numFmtId="164">
      <sharedItems containsSemiMixedTypes="0" containsNonDate="0" containsDate="1" containsString="0" minDate="2023-06-19T10:53:24" maxDate="2023-07-07T11:43:55"/>
    </cacheField>
    <cacheField name="Completion time" numFmtId="164">
      <sharedItems containsNonDate="0" containsDate="1" containsString="0" containsBlank="1" minDate="2023-06-19T10:59:10" maxDate="2023-07-07T11:46:02"/>
    </cacheField>
    <cacheField name="Consentimento" numFmtId="0">
      <sharedItems containsBlank="1"/>
    </cacheField>
    <cacheField name="2) Idade" numFmtId="0">
      <sharedItems containsBlank="1"/>
    </cacheField>
    <cacheField name="3) Género" numFmtId="0">
      <sharedItems containsBlank="1"/>
    </cacheField>
    <cacheField name="4) Estado civil" numFmtId="0">
      <sharedItems containsBlank="1"/>
    </cacheField>
    <cacheField name="5) Tem filhos?" numFmtId="0">
      <sharedItems containsBlank="1"/>
    </cacheField>
    <cacheField name="6) Nível educacional" numFmtId="0">
      <sharedItems containsBlank="1"/>
    </cacheField>
    <cacheField name="7) Área de formação principal" numFmtId="0">
      <sharedItems containsBlank="1"/>
    </cacheField>
    <cacheField name="8) Situação profissional" numFmtId="0">
      <sharedItems containsBlank="1"/>
    </cacheField>
    <cacheField name="9) Qual a sua profissão?" numFmtId="0">
      <sharedItems containsBlank="1"/>
    </cacheField>
    <cacheField name="10) Quão frequentemente joga em dispositivos móveis?" numFmtId="0">
      <sharedItems containsBlank="1"/>
    </cacheField>
    <cacheField name="11) Indique as plataformas em que mais costuma jogar" numFmtId="0">
      <sharedItems containsBlank="1"/>
    </cacheField>
    <cacheField name="12) Que tipo de videojogos prefere?" numFmtId="0">
      <sharedItems containsBlank="1"/>
    </cacheField>
    <cacheField name="MS01_HP_deaths" numFmtId="0">
      <sharedItems containsString="0" containsBlank="1" containsNumber="1" containsInteger="1" minValue="0" maxValue="5"/>
    </cacheField>
    <cacheField name="MS01_HP_coins" numFmtId="0">
      <sharedItems containsString="0" containsBlank="1" containsNumber="1" minValue="0.66666666666666663" maxValue="1"/>
    </cacheField>
    <cacheField name="MS01_HP_duration" numFmtId="0">
      <sharedItems containsString="0" containsBlank="1" containsNumber="1" minValue="3.436172" maxValue="44"/>
    </cacheField>
    <cacheField name="MS01_HP_healthLost" numFmtId="0">
      <sharedItems containsString="0" containsBlank="1" containsNumber="1" minValue="0" maxValue="5.5"/>
    </cacheField>
    <cacheField name="MS01_EP_coins" numFmtId="0">
      <sharedItems containsString="0" containsBlank="1" containsNumber="1" containsInteger="1" minValue="1" maxValue="1"/>
    </cacheField>
    <cacheField name="MS01_EP_deaths" numFmtId="0">
      <sharedItems containsString="0" containsBlank="1" containsNumber="1" containsInteger="1" minValue="0" maxValue="0"/>
    </cacheField>
    <cacheField name="MS01_EP_duration" numFmtId="0">
      <sharedItems containsString="0" containsBlank="1" containsNumber="1" minValue="2.526195" maxValue="24.384840000000001"/>
    </cacheField>
    <cacheField name="MS01_EP_healthLost" numFmtId="0">
      <sharedItems containsString="0" containsBlank="1" containsNumber="1" containsInteger="1" minValue="0" maxValue="0"/>
    </cacheField>
    <cacheField name="MS02_deaths" numFmtId="0">
      <sharedItems containsString="0" containsBlank="1" containsNumber="1" containsInteger="1" minValue="0" maxValue="5"/>
    </cacheField>
    <cacheField name="MS02_coins" numFmtId="0">
      <sharedItems containsString="0" containsBlank="1" containsNumber="1" minValue="0" maxValue="1"/>
    </cacheField>
    <cacheField name="MS02_duration" numFmtId="0">
      <sharedItems containsString="0" containsBlank="1" containsNumber="1" minValue="-1" maxValue="31.031312000000003"/>
    </cacheField>
    <cacheField name="MS02_healthLost" numFmtId="0">
      <sharedItems containsString="0" containsBlank="1" containsNumber="1" minValue="0" maxValue="6.0449999999999999"/>
    </cacheField>
    <cacheField name="MS03_HP_deaths" numFmtId="0">
      <sharedItems containsString="0" containsBlank="1" containsNumber="1" containsInteger="1" minValue="0" maxValue="20"/>
    </cacheField>
    <cacheField name="MS03_HP_coins" numFmtId="0">
      <sharedItems containsString="0" containsBlank="1" containsNumber="1" minValue="0" maxValue="3"/>
    </cacheField>
    <cacheField name="MS03_HP_duration" numFmtId="0">
      <sharedItems containsString="0" containsBlank="1" containsNumber="1" minValue="3.9724374999999998" maxValue="23.997190999999997"/>
    </cacheField>
    <cacheField name="MS03_HP_healthLost" numFmtId="0">
      <sharedItems containsString="0" containsBlank="1" containsNumber="1" minValue="0" maxValue="21.650000000000002"/>
    </cacheField>
    <cacheField name="MS03_EP_deaths" numFmtId="0">
      <sharedItems containsString="0" containsBlank="1" containsNumber="1" containsInteger="1" minValue="0" maxValue="0"/>
    </cacheField>
    <cacheField name="MS03_EP_coins" numFmtId="2">
      <sharedItems containsString="0" containsBlank="1" containsNumber="1" minValue="0" maxValue="1"/>
    </cacheField>
    <cacheField name="MS03_EP_duration" numFmtId="0">
      <sharedItems containsString="0" containsBlank="1" containsNumber="1" minValue="3.8909099999999999" maxValue="89.868381999999997"/>
    </cacheField>
    <cacheField name="MS03_EP_healthLost" numFmtId="0">
      <sharedItems containsString="0" containsBlank="1" containsNumber="1" containsInteger="1" minValue="0" maxValue="0"/>
    </cacheField>
    <cacheField name="MS03_trap_attempts" numFmtId="0">
      <sharedItems containsString="0" containsBlank="1" containsNumber="1" containsInteger="1" minValue="0" maxValue="2"/>
    </cacheField>
    <cacheField name="MS03_trap_deaths" numFmtId="0">
      <sharedItems containsString="0" containsBlank="1" containsNumber="1" containsInteger="1" minValue="0" maxValue="2"/>
    </cacheField>
    <cacheField name="MS03_trap_coins" numFmtId="0">
      <sharedItems containsString="0" containsBlank="1" containsNumber="1" minValue="0" maxValue="5"/>
    </cacheField>
    <cacheField name="MS04_HP_deaths" numFmtId="0">
      <sharedItems containsString="0" containsBlank="1" containsNumber="1" containsInteger="1" minValue="0" maxValue="28"/>
    </cacheField>
    <cacheField name="MS04_HP_coins" numFmtId="0">
      <sharedItems containsString="0" containsBlank="1" containsNumber="1" minValue="0" maxValue="1"/>
    </cacheField>
    <cacheField name="MS04_HP_duration" numFmtId="0">
      <sharedItems containsString="0" containsBlank="1" containsNumber="1" minValue="-1" maxValue="198.82210000000001"/>
    </cacheField>
    <cacheField name="MS04_HP_healthLost" numFmtId="0">
      <sharedItems containsString="0" containsBlank="1" containsNumber="1" minValue="0" maxValue="30.900000000000006"/>
    </cacheField>
    <cacheField name="MS04_EP_deaths" numFmtId="0">
      <sharedItems containsString="0" containsBlank="1" containsNumber="1" containsInteger="1" minValue="0" maxValue="1"/>
    </cacheField>
    <cacheField name="MS04_EP_coins" numFmtId="0">
      <sharedItems containsString="0" containsBlank="1" containsNumber="1" minValue="0" maxValue="1"/>
    </cacheField>
    <cacheField name="MS04_EP_duration" numFmtId="0">
      <sharedItems containsString="0" containsBlank="1" containsNumber="1" minValue="-1" maxValue="89.926564999999997"/>
    </cacheField>
    <cacheField name="MS04_EP_healthLost" numFmtId="0">
      <sharedItems containsString="0" containsBlank="1" containsNumber="1" minValue="0" maxValue="0.72750000000000004"/>
    </cacheField>
    <cacheField name="MS04_trap_attempts" numFmtId="0">
      <sharedItems containsString="0" containsBlank="1" containsNumber="1" containsInteger="1" minValue="0" maxValue="3"/>
    </cacheField>
    <cacheField name="MS04_trap_deaths" numFmtId="0">
      <sharedItems containsString="0" containsBlank="1" containsNumber="1" containsInteger="1" minValue="1" maxValue="3"/>
    </cacheField>
    <cacheField name="MS04_trap_coins" numFmtId="0">
      <sharedItems containsString="0" containsBlank="1" containsNumber="1" containsInteger="1" minValue="0" maxValue="0"/>
    </cacheField>
    <cacheField name="MS05_HP_deaths" numFmtId="0">
      <sharedItems containsString="0" containsBlank="1" containsNumber="1" containsInteger="1" minValue="0" maxValue="4"/>
    </cacheField>
    <cacheField name="MS05_HP_coins" numFmtId="0">
      <sharedItems containsString="0" containsBlank="1" containsNumber="1" minValue="0" maxValue="1"/>
    </cacheField>
    <cacheField name="MS05_HP_duration" numFmtId="0">
      <sharedItems containsString="0" containsBlank="1" containsNumber="1" minValue="7.2922409999999998" maxValue="20.17193"/>
    </cacheField>
    <cacheField name="MS05_HP_healthLost" numFmtId="0">
      <sharedItems containsString="0" containsBlank="1" containsNumber="1" minValue="0.44750000000000001" maxValue="4.01"/>
    </cacheField>
    <cacheField name="MS05_EP_deaths" numFmtId="0">
      <sharedItems containsString="0" containsBlank="1" containsNumber="1" containsInteger="1" minValue="0" maxValue="0"/>
    </cacheField>
    <cacheField name="MS05_EP_coins" numFmtId="0">
      <sharedItems containsString="0" containsBlank="1" containsNumber="1" containsInteger="1" minValue="1" maxValue="1"/>
    </cacheField>
    <cacheField name="MS05_EP_duration" numFmtId="0">
      <sharedItems containsString="0" containsBlank="1" containsNumber="1" minValue="-1" maxValue="48.74982"/>
    </cacheField>
    <cacheField name="MS05_EP_healthLost" numFmtId="0">
      <sharedItems containsString="0" containsBlank="1" containsNumber="1" containsInteger="1" minValue="0" maxValue="0"/>
    </cacheField>
    <cacheField name="MS05_trap_attempts" numFmtId="0">
      <sharedItems containsString="0" containsBlank="1" containsNumber="1" containsInteger="1" minValue="0" maxValue="3"/>
    </cacheField>
    <cacheField name="MS05_trap_deaths" numFmtId="0">
      <sharedItems containsString="0" containsBlank="1" containsNumber="1" containsInteger="1" minValue="0" maxValue="3"/>
    </cacheField>
    <cacheField name="MS05_trap_coins" numFmtId="0">
      <sharedItems containsString="0" containsBlank="1" containsNumber="1" minValue="0" maxValue="1"/>
    </cacheField>
    <cacheField name="MS06_HP_deaths" numFmtId="0">
      <sharedItems containsString="0" containsBlank="1" containsNumber="1" containsInteger="1" minValue="0" maxValue="4"/>
    </cacheField>
    <cacheField name="MS06_HP_coins" numFmtId="0">
      <sharedItems containsString="0" containsBlank="1" containsNumber="1" minValue="0" maxValue="1"/>
    </cacheField>
    <cacheField name="MS06_HP_duration" numFmtId="0">
      <sharedItems containsString="0" containsBlank="1" containsNumber="1" minValue="17.540658999999998" maxValue="69.182140000000004"/>
    </cacheField>
    <cacheField name="MS06_HP_healthLost" numFmtId="0">
      <sharedItems containsString="0" containsBlank="1" containsNumber="1" minValue="0" maxValue="3.02"/>
    </cacheField>
    <cacheField name="MS06_EP_deaths" numFmtId="0">
      <sharedItems containsString="0" containsBlank="1" containsNumber="1" containsInteger="1" minValue="0" maxValue="0"/>
    </cacheField>
    <cacheField name="MS06_EP_coins" numFmtId="0">
      <sharedItems containsString="0" containsBlank="1" containsNumber="1" containsInteger="1" minValue="1" maxValue="1"/>
    </cacheField>
    <cacheField name="MS06_EP_duration" numFmtId="0">
      <sharedItems containsString="0" containsBlank="1" containsNumber="1" minValue="-1" maxValue="36"/>
    </cacheField>
    <cacheField name="MS06_EP_healthLost" numFmtId="0">
      <sharedItems containsString="0" containsBlank="1" containsNumber="1" minValue="0" maxValue="0.56000000000000005"/>
    </cacheField>
    <cacheField name="MS07_HP_deaths" numFmtId="0">
      <sharedItems containsString="0" containsBlank="1" containsNumber="1" containsInteger="1" minValue="0" maxValue="3"/>
    </cacheField>
    <cacheField name="MS07_HP_coins" numFmtId="0">
      <sharedItems containsString="0" containsBlank="1" containsNumber="1" minValue="0" maxValue="1"/>
    </cacheField>
    <cacheField name="MS07_HP_duration" numFmtId="0">
      <sharedItems containsString="0" containsBlank="1" containsNumber="1" minValue="-1" maxValue="73.444446999999997"/>
    </cacheField>
    <cacheField name="MS07_HP_healthLost" numFmtId="0">
      <sharedItems containsString="0" containsBlank="1" containsNumber="1" minValue="0" maxValue="3.2675000000000001"/>
    </cacheField>
    <cacheField name="MS07_EP_deaths" numFmtId="0">
      <sharedItems containsString="0" containsBlank="1" containsNumber="1" containsInteger="1" minValue="0" maxValue="0"/>
    </cacheField>
    <cacheField name="MS07_EP_coins" numFmtId="0">
      <sharedItems containsString="0" containsBlank="1" containsNumber="1" minValue="0.5" maxValue="1"/>
    </cacheField>
    <cacheField name="MS07_EP_duration" numFmtId="0">
      <sharedItems containsString="0" containsBlank="1" containsNumber="1" minValue="7.2103000000000002" maxValue="170.64689999999999"/>
    </cacheField>
    <cacheField name="MS07_EP_healthLost" numFmtId="0">
      <sharedItems containsString="0" containsBlank="1" containsNumber="1" containsInteger="1" minValue="0" maxValue="0"/>
    </cacheField>
    <cacheField name="MS07_trap_attempts" numFmtId="0">
      <sharedItems containsString="0" containsBlank="1" containsNumber="1" containsInteger="1" minValue="0" maxValue="3"/>
    </cacheField>
    <cacheField name="MS07_trap_deaths" numFmtId="0">
      <sharedItems containsString="0" containsBlank="1" containsNumber="1" containsInteger="1" minValue="0" maxValue="3"/>
    </cacheField>
    <cacheField name="MS07_trap_coins" numFmtId="0">
      <sharedItems containsString="0" containsBlank="1" containsNumber="1" minValue="0" maxValue="1"/>
    </cacheField>
    <cacheField name="MS08_HP_deaths" numFmtId="0">
      <sharedItems containsString="0" containsBlank="1" containsNumber="1" containsInteger="1" minValue="0" maxValue="22"/>
    </cacheField>
    <cacheField name="MS08_HP_coins" numFmtId="0">
      <sharedItems containsString="0" containsBlank="1" containsNumber="1" minValue="0" maxValue="1"/>
    </cacheField>
    <cacheField name="MS08_HP_duration" numFmtId="0">
      <sharedItems containsString="0" containsBlank="1" containsNumber="1" minValue="-1" maxValue="32.848939999999999"/>
    </cacheField>
    <cacheField name="MS08_HP_healthLost" numFmtId="0">
      <sharedItems containsString="0" containsBlank="1" containsNumber="1" minValue="0" maxValue="23.1"/>
    </cacheField>
    <cacheField name="MS08_EP_deaths" numFmtId="0">
      <sharedItems containsString="0" containsBlank="1" containsNumber="1" containsInteger="1" minValue="0" maxValue="1"/>
    </cacheField>
    <cacheField name="MS08_EP_coins" numFmtId="0">
      <sharedItems containsString="0" containsBlank="1" containsNumber="1" minValue="0" maxValue="1"/>
    </cacheField>
    <cacheField name="MS08_EP_duration" numFmtId="0">
      <sharedItems containsString="0" containsBlank="1" containsNumber="1" minValue="11.358559999999999" maxValue="43.299320000000002"/>
    </cacheField>
    <cacheField name="MS08_EP_healthLost" numFmtId="0">
      <sharedItems containsString="0" containsBlank="1" containsNumber="1" minValue="0" maxValue="1.1375"/>
    </cacheField>
    <cacheField name="MS08_trap_attempts" numFmtId="0">
      <sharedItems containsString="0" containsBlank="1" containsNumber="1" containsInteger="1" minValue="0" maxValue="6"/>
    </cacheField>
    <cacheField name="MS08_trap_deaths" numFmtId="0">
      <sharedItems containsString="0" containsBlank="1" containsNumber="1" containsInteger="1" minValue="0" maxValue="5"/>
    </cacheField>
    <cacheField name="MS08_trap_coins" numFmtId="0">
      <sharedItems containsString="0" containsBlank="1" containsNumber="1" minValue="0.33333333333333331" maxValue="1"/>
    </cacheField>
    <cacheField name="TotalHardPaths" numFmtId="0">
      <sharedItems containsString="0" containsBlank="1" containsNumber="1" minValue="0" maxValue="0.875" count="9">
        <n v="0"/>
        <n v="0.25"/>
        <n v="0.125"/>
        <n v="0.375"/>
        <n v="0.5"/>
        <n v="0.625"/>
        <n v="0.875"/>
        <m/>
        <n v="0.75"/>
      </sharedItems>
    </cacheField>
    <cacheField name="GaveUpHardPath1x" numFmtId="0">
      <sharedItems containsString="0" containsBlank="1" containsNumber="1" containsInteger="1" minValue="0" maxValue="2"/>
    </cacheField>
    <cacheField name="TotalTrapsRisked" numFmtId="0">
      <sharedItems containsString="0" containsBlank="1" containsNumber="1" minValue="0" maxValue="4"/>
    </cacheField>
    <cacheField name="TotalTrapsRisked2" numFmtId="0">
      <sharedItems containsString="0" containsBlank="1" containsNumber="1" minValue="0" maxValue="0.8"/>
    </cacheField>
    <cacheField name="Traps2xAttempts" numFmtId="0">
      <sharedItems containsString="0" containsBlank="1" containsNumber="1" containsInteger="1" minValue="0" maxValue="1"/>
    </cacheField>
    <cacheField name="ExploredMS1" numFmtId="0">
      <sharedItems containsString="0" containsBlank="1" containsNumber="1" containsInteger="1" minValue="0" maxValue="1"/>
    </cacheField>
    <cacheField name="AT01_hardcoins" numFmtId="2">
      <sharedItems containsSemiMixedTypes="0" containsString="0" containsNumber="1" minValue="0" maxValue="1"/>
    </cacheField>
    <cacheField name="AT01_totalcoins" numFmtId="2">
      <sharedItems containsSemiMixedTypes="0" containsString="0" containsNumber="1" minValue="0.12727272727272726" maxValue="1"/>
    </cacheField>
    <cacheField name="AT01_diamonds" numFmtId="1">
      <sharedItems containsSemiMixedTypes="0" containsString="0" containsNumber="1" containsInteger="1" minValue="0" maxValue="3"/>
    </cacheField>
    <cacheField name="AT01_time" numFmtId="1">
      <sharedItems containsSemiMixedTypes="0" containsString="0" containsNumber="1" containsInteger="1" minValue="98" maxValue="874"/>
    </cacheField>
    <cacheField name="AT01_score" numFmtId="1">
      <sharedItems containsSemiMixedTypes="0" containsString="0" containsNumber="1" containsInteger="1" minValue="140" maxValue="1400"/>
    </cacheField>
    <cacheField name="AT01_trophies" numFmtId="1">
      <sharedItems containsSemiMixedTypes="0" containsString="0" containsNumber="1" containsInteger="1" minValue="0" maxValue="3"/>
    </cacheField>
    <cacheField name="AT02_hardcoins" numFmtId="2">
      <sharedItems containsString="0" containsBlank="1" containsNumber="1" minValue="0" maxValue="1"/>
    </cacheField>
    <cacheField name="AT02_totalcoins" numFmtId="2">
      <sharedItems containsString="0" containsBlank="1" containsNumber="1" minValue="0.12727272727272726" maxValue="1"/>
    </cacheField>
    <cacheField name="AT02_diamonds" numFmtId="0">
      <sharedItems containsString="0" containsBlank="1" containsNumber="1" containsInteger="1" minValue="0" maxValue="3"/>
    </cacheField>
    <cacheField name="AT02_time" numFmtId="0">
      <sharedItems containsString="0" containsBlank="1" containsNumber="1" containsInteger="1" minValue="81" maxValue="386"/>
    </cacheField>
    <cacheField name="AT02_score" numFmtId="0">
      <sharedItems containsString="0" containsBlank="1" containsNumber="1" containsInteger="1" minValue="140" maxValue="1400"/>
    </cacheField>
    <cacheField name="AT02_trophies" numFmtId="0">
      <sharedItems containsString="0" containsBlank="1" containsNumber="1" containsInteger="1" minValue="0" maxValue="3"/>
    </cacheField>
    <cacheField name="2Attempts" numFmtId="0">
      <sharedItems containsSemiMixedTypes="0" containsString="0" containsNumber="1" containsInteger="1" minValue="0" maxValue="1" count="2">
        <n v="1"/>
        <n v="0"/>
      </sharedItems>
    </cacheField>
    <cacheField name="TT_insistedHardly" numFmtId="0">
      <sharedItems containsSemiMixedTypes="0" containsString="0" containsNumber="1" containsInteger="1" minValue="0" maxValue="1"/>
    </cacheField>
    <cacheField name="Notas" numFmtId="0">
      <sharedItems containsBlank="1"/>
    </cacheField>
    <cacheField name="1) Preocupo-me com as coisas." numFmtId="0">
      <sharedItems containsSemiMixedTypes="0" containsString="0" containsNumber="1" containsInteger="1" minValue="3" maxValue="5"/>
    </cacheField>
    <cacheField name="2) Faço amizades facilmente." numFmtId="0">
      <sharedItems containsSemiMixedTypes="0" containsString="0" containsNumber="1" containsInteger="1" minValue="1" maxValue="5"/>
    </cacheField>
    <cacheField name="3) Tenho uma imaginação vívida" numFmtId="0">
      <sharedItems containsSemiMixedTypes="0" containsString="0" containsNumber="1" containsInteger="1" minValue="2" maxValue="5"/>
    </cacheField>
    <cacheField name="4) Confio nos outros" numFmtId="0">
      <sharedItems containsSemiMixedTypes="0" containsString="0" containsNumber="1" containsInteger="1" minValue="1" maxValue="5"/>
    </cacheField>
    <cacheField name="5) Completo tarefas com sucesso." numFmtId="0">
      <sharedItems containsSemiMixedTypes="0" containsString="0" containsNumber="1" containsInteger="1" minValue="2" maxValue="5"/>
    </cacheField>
    <cacheField name="6) Zango-me com facilidade" numFmtId="0">
      <sharedItems containsSemiMixedTypes="0" containsString="0" containsNumber="1" containsInteger="1" minValue="1" maxValue="5"/>
    </cacheField>
    <cacheField name="7) Adoro grandes festas." numFmtId="0">
      <sharedItems containsSemiMixedTypes="0" containsString="0" containsNumber="1" containsInteger="1" minValue="1" maxValue="5"/>
    </cacheField>
    <cacheField name="8) Acredito na importância da arte" numFmtId="0">
      <sharedItems containsSemiMixedTypes="0" containsString="0" containsNumber="1" containsInteger="1" minValue="2" maxValue="5"/>
    </cacheField>
    <cacheField name="9) Uso os outros para os meus próprios fins." numFmtId="0">
      <sharedItems containsSemiMixedTypes="0" containsString="0" containsNumber="1" containsInteger="1" minValue="1" maxValue="4"/>
    </cacheField>
    <cacheField name="10) Gosto de arrumar." numFmtId="0">
      <sharedItems containsSemiMixedTypes="0" containsString="0" containsNumber="1" containsInteger="1" minValue="1" maxValue="5"/>
    </cacheField>
    <cacheField name="11) Sinto-me triste frequentemente" numFmtId="0">
      <sharedItems containsSemiMixedTypes="0" containsString="0" containsNumber="1" containsInteger="1" minValue="1" maxValue="5"/>
    </cacheField>
    <cacheField name="12) Encarrego-me da situação" numFmtId="0">
      <sharedItems containsSemiMixedTypes="0" containsString="0" containsNumber="1" containsInteger="1" minValue="2" maxValue="5"/>
    </cacheField>
    <cacheField name="13) Vivo as minhas emoções intensamente" numFmtId="0">
      <sharedItems containsSemiMixedTypes="0" containsString="0" containsNumber="1" containsInteger="1" minValue="1" maxValue="5"/>
    </cacheField>
    <cacheField name="14) Adoro ajudar os outros" numFmtId="0">
      <sharedItems containsSemiMixedTypes="0" containsString="0" containsNumber="1" containsInteger="1" minValue="3" maxValue="5"/>
    </cacheField>
    <cacheField name="15) Cumpro as minhas promessas" numFmtId="0">
      <sharedItems containsSemiMixedTypes="0" containsString="0" containsNumber="1" containsInteger="1" minValue="3" maxValue="5"/>
    </cacheField>
    <cacheField name="16) Tenho dificuldade em abordar outras pessoas" numFmtId="0">
      <sharedItems containsSemiMixedTypes="0" containsString="0" containsNumber="1" containsInteger="1" minValue="1" maxValue="5"/>
    </cacheField>
    <cacheField name="17) Estou sempre ocupado(a)" numFmtId="0">
      <sharedItems containsSemiMixedTypes="0" containsString="0" containsNumber="1" containsInteger="1" minValue="1" maxValue="5"/>
    </cacheField>
    <cacheField name="18) Prefiro a variedade à rotina" numFmtId="0">
      <sharedItems containsSemiMixedTypes="0" containsString="0" containsNumber="1" containsInteger="1" minValue="1" maxValue="5"/>
    </cacheField>
    <cacheField name="19) Gosto de uma boa zaragata" numFmtId="0">
      <sharedItems containsSemiMixedTypes="0" containsString="0" containsNumber="1" containsInteger="1" minValue="1" maxValue="5"/>
    </cacheField>
    <cacheField name="20) Trabalho arduamente" numFmtId="0">
      <sharedItems containsSemiMixedTypes="0" containsString="0" containsNumber="1" containsInteger="1" minValue="1" maxValue="5"/>
    </cacheField>
    <cacheField name="21) Cometo excessos" numFmtId="0">
      <sharedItems containsSemiMixedTypes="0" containsString="0" containsNumber="1" containsInteger="1" minValue="1" maxValue="5"/>
    </cacheField>
    <cacheField name="22) Adoro sentir emoção" numFmtId="0">
      <sharedItems containsSemiMixedTypes="0" containsString="0" containsNumber="1" containsInteger="1" minValue="2" maxValue="5"/>
    </cacheField>
    <cacheField name="23) Gosto de ler material desafiante" numFmtId="0">
      <sharedItems containsSemiMixedTypes="0" containsString="0" containsNumber="1" containsInteger="1" minValue="1" maxValue="5"/>
    </cacheField>
    <cacheField name="24) Acredito que sou melhor do que os outros" numFmtId="0">
      <sharedItems containsSemiMixedTypes="0" containsString="0" containsNumber="1" containsInteger="1" minValue="1" maxValue="5"/>
    </cacheField>
    <cacheField name="25) Estou sempre preparado(a)" numFmtId="0">
      <sharedItems containsSemiMixedTypes="0" containsString="0" containsNumber="1" containsInteger="1" minValue="1" maxValue="5"/>
    </cacheField>
    <cacheField name="26) Entro em pânico facilmente" numFmtId="0">
      <sharedItems containsSemiMixedTypes="0" containsString="0" containsNumber="1" containsInteger="1" minValue="1" maxValue="5"/>
    </cacheField>
    <cacheField name="27) Irradio alegria" numFmtId="0">
      <sharedItems containsSemiMixedTypes="0" containsString="0" containsNumber="1" containsInteger="1" minValue="1" maxValue="5"/>
    </cacheField>
    <cacheField name="28) Tendo a votar em candidatos políticos liberais" numFmtId="0">
      <sharedItems containsSemiMixedTypes="0" containsString="0" containsNumber="1" containsInteger="1" minValue="1" maxValue="5"/>
    </cacheField>
    <cacheField name="29) Sinto simpatia pelos sem-abrigo" numFmtId="0">
      <sharedItems containsSemiMixedTypes="0" containsString="0" containsNumber="1" containsInteger="1" minValue="1" maxValue="5"/>
    </cacheField>
    <cacheField name="30) Atiro-me às situações sem pensar" numFmtId="0">
      <sharedItems containsSemiMixedTypes="0" containsString="0" containsNumber="1" containsInteger="1" minValue="1" maxValue="5"/>
    </cacheField>
    <cacheField name="31) Tenho medo do pior" numFmtId="0">
      <sharedItems containsSemiMixedTypes="0" containsString="0" containsNumber="1" containsInteger="1" minValue="1" maxValue="5"/>
    </cacheField>
    <cacheField name="32) Sinto-me confortável ao redor das pessoas" numFmtId="0">
      <sharedItems containsSemiMixedTypes="0" containsString="0" containsNumber="1" containsInteger="1" minValue="1" maxValue="5"/>
    </cacheField>
    <cacheField name="33) Gosto de viajar pelo reino da fantasia" numFmtId="0">
      <sharedItems containsSemiMixedTypes="0" containsString="0" containsNumber="1" containsInteger="1" minValue="1" maxValue="5"/>
    </cacheField>
    <cacheField name="34) Acredito que os outros têm boas intenções" numFmtId="0">
      <sharedItems containsSemiMixedTypes="0" containsString="0" containsNumber="1" containsInteger="1" minValue="1" maxValue="5"/>
    </cacheField>
    <cacheField name="35) Sou excelente no que faço" numFmtId="0">
      <sharedItems containsSemiMixedTypes="0" containsString="0" containsNumber="1" containsInteger="1" minValue="1" maxValue="5"/>
    </cacheField>
    <cacheField name="36) Irrito-me com facilidade" numFmtId="0">
      <sharedItems containsSemiMixedTypes="0" containsString="0" containsNumber="1" containsInteger="1" minValue="1" maxValue="5"/>
    </cacheField>
    <cacheField name="37) Converso com muitas pessoas diferentes em festas" numFmtId="0">
      <sharedItems containsSemiMixedTypes="0" containsString="0" containsNumber="1" containsInteger="1" minValue="1" maxValue="5"/>
    </cacheField>
    <cacheField name="38) Vejo beleza em coisas que outros podem não notar" numFmtId="0">
      <sharedItems containsSemiMixedTypes="0" containsString="0" containsNumber="1" containsInteger="1" minValue="1" maxValue="5"/>
    </cacheField>
    <cacheField name="39) Faço batota para ficar à frente dos outros" numFmtId="0">
      <sharedItems containsSemiMixedTypes="0" containsString="0" containsNumber="1" containsInteger="1" minValue="1" maxValue="4"/>
    </cacheField>
    <cacheField name="40) Esqueço-me com frequência de colocar as coisas no seu devido lugar" numFmtId="0">
      <sharedItems containsSemiMixedTypes="0" containsString="0" containsNumber="1" containsInteger="1" minValue="1" maxValue="5"/>
    </cacheField>
    <cacheField name="41) Não gosto de mim próprio(a)" numFmtId="0">
      <sharedItems containsSemiMixedTypes="0" containsString="0" containsNumber="1" containsInteger="1" minValue="1" maxValue="5"/>
    </cacheField>
    <cacheField name="42) Tento liderar os outros" numFmtId="0">
      <sharedItems containsSemiMixedTypes="0" containsString="0" containsNumber="1" containsInteger="1" minValue="1" maxValue="5"/>
    </cacheField>
    <cacheField name="43) Sinto as emoções dos outros" numFmtId="0">
      <sharedItems containsSemiMixedTypes="0" containsString="0" containsNumber="1" containsInteger="1" minValue="1" maxValue="5"/>
    </cacheField>
    <cacheField name="44) Preocupo-me com os outros" numFmtId="0">
      <sharedItems containsSemiMixedTypes="0" containsString="0" containsNumber="1" containsInteger="1" minValue="3" maxValue="5"/>
    </cacheField>
    <cacheField name="45) Digo a verdade" numFmtId="0">
      <sharedItems containsSemiMixedTypes="0" containsString="0" containsNumber="1" containsInteger="1" minValue="2" maxValue="5"/>
    </cacheField>
    <cacheField name="46) Tenho medo de chamar a atenção para mim mesmo(a)" numFmtId="0">
      <sharedItems containsSemiMixedTypes="0" containsString="0" containsNumber="1" containsInteger="1" minValue="1" maxValue="5"/>
    </cacheField>
    <cacheField name="47) Estou sempre em movimento" numFmtId="0">
      <sharedItems containsSemiMixedTypes="0" containsString="0" containsNumber="1" containsInteger="1" minValue="1" maxValue="5"/>
    </cacheField>
    <cacheField name="48) Prefiro ficar-me pelas coisas que conheço" numFmtId="0">
      <sharedItems containsSemiMixedTypes="0" containsString="0" containsNumber="1" containsInteger="1" minValue="1" maxValue="5"/>
    </cacheField>
    <cacheField name="49) Grito com as pessoas" numFmtId="0">
      <sharedItems containsSemiMixedTypes="0" containsString="0" containsNumber="1" containsInteger="1" minValue="1" maxValue="5"/>
    </cacheField>
    <cacheField name="50) Faço mais do que é esperado de mim" numFmtId="0">
      <sharedItems containsSemiMixedTypes="0" containsString="0" containsNumber="1" containsInteger="1" minValue="2" maxValue="5"/>
    </cacheField>
    <cacheField name="51) Raramente exagero" numFmtId="0">
      <sharedItems containsSemiMixedTypes="0" containsString="0" containsNumber="1" containsInteger="1" minValue="1" maxValue="5"/>
    </cacheField>
    <cacheField name="52) Procuro aventura" numFmtId="0">
      <sharedItems containsSemiMixedTypes="0" containsString="0" containsNumber="1" containsInteger="1" minValue="1" maxValue="5"/>
    </cacheField>
    <cacheField name="53) Evito discussões filosóficas" numFmtId="0">
      <sharedItems containsSemiMixedTypes="0" containsString="0" containsNumber="1" containsInteger="1" minValue="1" maxValue="5"/>
    </cacheField>
    <cacheField name="54) Tenho-me em grande consideração" numFmtId="0">
      <sharedItems containsSemiMixedTypes="0" containsString="0" containsNumber="1" containsInteger="1" minValue="1" maxValue="5"/>
    </cacheField>
    <cacheField name="55) Realizo os meus planos até ao fim" numFmtId="0">
      <sharedItems containsSemiMixedTypes="0" containsString="0" containsNumber="1" containsInteger="1" minValue="2" maxValue="5"/>
    </cacheField>
    <cacheField name="56) Os eventos fazem-me sentir oprimido" numFmtId="0">
      <sharedItems containsSemiMixedTypes="0" containsString="0" containsNumber="1" containsInteger="1" minValue="1" maxValue="5"/>
    </cacheField>
    <cacheField name="57) Divirto-me muito" numFmtId="0">
      <sharedItems containsSemiMixedTypes="0" containsString="0" containsNumber="1" containsInteger="1" minValue="1" maxValue="5"/>
    </cacheField>
    <cacheField name="58) Acredito que não há certo ou errado absolutos" numFmtId="0">
      <sharedItems containsSemiMixedTypes="0" containsString="0" containsNumber="1" containsInteger="1" minValue="1" maxValue="5"/>
    </cacheField>
    <cacheField name="59) Sinto simpatia por aqueles que estão em situações piores do que a minha" numFmtId="0">
      <sharedItems containsSemiMixedTypes="0" containsString="0" containsNumber="1" containsInteger="1" minValue="1" maxValue="5"/>
    </cacheField>
    <cacheField name="60) Tomo decisões impulsivas" numFmtId="0">
      <sharedItems containsSemiMixedTypes="0" containsString="0" containsNumber="1" containsInteger="1" minValue="1" maxValue="5"/>
    </cacheField>
    <cacheField name="61) Tenho medo de muitas coisas" numFmtId="0">
      <sharedItems containsSemiMixedTypes="0" containsString="0" containsNumber="1" containsInteger="1" minValue="1" maxValue="5"/>
    </cacheField>
    <cacheField name="62) Evito contacto com outras pessoas" numFmtId="0">
      <sharedItems containsSemiMixedTypes="0" containsString="0" containsNumber="1" containsInteger="1" minValue="1" maxValue="5"/>
    </cacheField>
    <cacheField name="63) Adoro sonhar acordado" numFmtId="0">
      <sharedItems containsSemiMixedTypes="0" containsString="0" containsNumber="1" containsInteger="1" minValue="1" maxValue="5"/>
    </cacheField>
    <cacheField name="64) Confio no que as pessoas dizem" numFmtId="0">
      <sharedItems containsSemiMixedTypes="0" containsString="0" containsNumber="1" containsInteger="1" minValue="1" maxValue="5"/>
    </cacheField>
    <cacheField name="65) Lido com tarefas sem problemas" numFmtId="0">
      <sharedItems containsSemiMixedTypes="0" containsString="0" containsNumber="1" containsInteger="1" minValue="1" maxValue="5"/>
    </cacheField>
    <cacheField name="66) Perco a paciência" numFmtId="0">
      <sharedItems containsSemiMixedTypes="0" containsString="0" containsNumber="1" containsInteger="1" minValue="1" maxValue="5"/>
    </cacheField>
    <cacheField name="67) Prefiro estar sozinho(a)" numFmtId="0">
      <sharedItems containsSemiMixedTypes="0" containsString="0" containsNumber="1" containsInteger="1" minValue="1" maxValue="5"/>
    </cacheField>
    <cacheField name="68) Não gosto de poesia" numFmtId="0">
      <sharedItems containsSemiMixedTypes="0" containsString="0" containsNumber="1" containsInteger="1" minValue="1" maxValue="5"/>
    </cacheField>
    <cacheField name="C1- Da lista a seguir escolha a opção 4" numFmtId="0">
      <sharedItems containsMixedTypes="1" containsNumber="1" containsInteger="1" minValue="1" maxValue="4"/>
    </cacheField>
    <cacheField name="69) Aproveito-me dos outros" numFmtId="0">
      <sharedItems containsSemiMixedTypes="0" containsString="0" containsNumber="1" containsInteger="1" minValue="1" maxValue="5"/>
    </cacheField>
    <cacheField name="70) Deixo uma confusão no meu quarto" numFmtId="0">
      <sharedItems containsSemiMixedTypes="0" containsString="0" containsNumber="1" containsInteger="1" minValue="1" maxValue="5"/>
    </cacheField>
    <cacheField name="71) Estou muitas vezes em baixo" numFmtId="0">
      <sharedItems containsSemiMixedTypes="0" containsString="0" containsNumber="1" containsInteger="1" minValue="1" maxValue="5"/>
    </cacheField>
    <cacheField name="72) Assumo o controlo das coisas" numFmtId="0">
      <sharedItems containsSemiMixedTypes="0" containsString="0" containsNumber="1" containsInteger="1" minValue="1" maxValue="5"/>
    </cacheField>
    <cacheField name="73) Raramente reparo nas minhas reações emocionais" numFmtId="0">
      <sharedItems containsSemiMixedTypes="0" containsString="0" containsNumber="1" containsInteger="1" minValue="1" maxValue="5"/>
    </cacheField>
    <cacheField name="74) Sou indiferente aos sentimentos dos outros" numFmtId="0">
      <sharedItems containsSemiMixedTypes="0" containsString="0" containsNumber="1" containsInteger="1" minValue="1" maxValue="5"/>
    </cacheField>
    <cacheField name="75) Infrinjo as regras" numFmtId="0">
      <sharedItems containsSemiMixedTypes="0" containsString="0" containsNumber="1" containsInteger="1" minValue="1" maxValue="4"/>
    </cacheField>
    <cacheField name="76) Só me sinto confortável com amigos" numFmtId="0">
      <sharedItems containsSemiMixedTypes="0" containsString="0" containsNumber="1" containsInteger="1" minValue="1" maxValue="5"/>
    </cacheField>
    <cacheField name="77) Faço imensas coisas no meu tempo livre" numFmtId="0">
      <sharedItems containsSemiMixedTypes="0" containsString="0" containsNumber="1" containsInteger="1" minValue="1" maxValue="5"/>
    </cacheField>
    <cacheField name="78) Não gosto de mudanças" numFmtId="0">
      <sharedItems containsSemiMixedTypes="0" containsString="0" containsNumber="1" containsInteger="1" minValue="1" maxValue="5"/>
    </cacheField>
    <cacheField name="79) Insulto as pessoas" numFmtId="0">
      <sharedItems containsSemiMixedTypes="0" containsString="0" containsNumber="1" containsInteger="1" minValue="1" maxValue="5"/>
    </cacheField>
    <cacheField name="80) Faço apenas o trabalho necessário para sobreviver" numFmtId="0">
      <sharedItems containsSemiMixedTypes="0" containsString="0" containsNumber="1" containsInteger="1" minValue="1" maxValue="5"/>
    </cacheField>
    <cacheField name="81) Resisto facilmente a tentações" numFmtId="0">
      <sharedItems containsSemiMixedTypes="0" containsString="0" containsNumber="1" containsInteger="1" minValue="1" maxValue="5"/>
    </cacheField>
    <cacheField name="82) Gosto de correr riscos" numFmtId="0">
      <sharedItems containsSemiMixedTypes="0" containsString="0" containsNumber="1" containsInteger="1" minValue="1" maxValue="5"/>
    </cacheField>
    <cacheField name="83) Tenho dificuldade em entender ideias abstratas" numFmtId="0">
      <sharedItems containsSemiMixedTypes="0" containsString="0" containsNumber="1" containsInteger="1" minValue="1" maxValue="5"/>
    </cacheField>
    <cacheField name="84) Tenho uma opinião elevada sobre mim próprio" numFmtId="0">
      <sharedItems containsSemiMixedTypes="0" containsString="0" containsNumber="1" containsInteger="1" minValue="1" maxValue="5"/>
    </cacheField>
    <cacheField name="85) Desperdiço o meu tempo" numFmtId="0">
      <sharedItems containsSemiMixedTypes="0" containsString="0" containsNumber="1" containsInteger="1" minValue="1" maxValue="5"/>
    </cacheField>
    <cacheField name="86) Sinto que não consigo lidar com as coisas" numFmtId="0">
      <sharedItems containsSemiMixedTypes="0" containsString="0" containsNumber="1" containsInteger="1" minValue="1" maxValue="5"/>
    </cacheField>
    <cacheField name="87) Amo a vida" numFmtId="0">
      <sharedItems containsSemiMixedTypes="0" containsString="0" containsNumber="1" containsInteger="1" minValue="1" maxValue="5"/>
    </cacheField>
    <cacheField name="88) Tendo a votar em candidatos políticos conservadores" numFmtId="0">
      <sharedItems containsSemiMixedTypes="0" containsString="0" containsNumber="1" containsInteger="1" minValue="1" maxValue="4"/>
    </cacheField>
    <cacheField name="89) Não estou interessado nos problemas dos outros" numFmtId="0">
      <sharedItems containsSemiMixedTypes="0" containsString="0" containsNumber="1" containsInteger="1" minValue="1" maxValue="5"/>
    </cacheField>
    <cacheField name="90) Faço as coisas à pressa" numFmtId="0">
      <sharedItems containsSemiMixedTypes="0" containsString="0" containsNumber="1" containsInteger="1" minValue="1" maxValue="4"/>
    </cacheField>
    <cacheField name="91) Fico facilmente stressado(a)" numFmtId="0">
      <sharedItems containsSemiMixedTypes="0" containsString="0" containsNumber="1" containsInteger="1" minValue="1" maxValue="5"/>
    </cacheField>
    <cacheField name="92) Mantenho os outros à distância" numFmtId="0">
      <sharedItems containsSemiMixedTypes="0" containsString="0" containsNumber="1" containsInteger="1" minValue="1" maxValue="5"/>
    </cacheField>
    <cacheField name="93) Gosto de me perder em pensamentos" numFmtId="0">
      <sharedItems containsSemiMixedTypes="0" containsString="0" containsNumber="1" containsInteger="1" minValue="1" maxValue="5"/>
    </cacheField>
    <cacheField name="94) Desconfio das pessoas" numFmtId="0">
      <sharedItems containsSemiMixedTypes="0" containsString="0" containsNumber="1" containsInteger="1" minValue="1" maxValue="5"/>
    </cacheField>
    <cacheField name="95) Sei como fazer as coisas" numFmtId="0">
      <sharedItems containsSemiMixedTypes="0" containsString="0" containsNumber="1" containsInteger="1" minValue="1" maxValue="5"/>
    </cacheField>
    <cacheField name="96) Não me irrito facilmente" numFmtId="0">
      <sharedItems containsSemiMixedTypes="0" containsString="0" containsNumber="1" containsInteger="1" minValue="1" maxValue="5"/>
    </cacheField>
    <cacheField name="97) Evito multidões" numFmtId="0">
      <sharedItems containsSemiMixedTypes="0" containsString="0" containsNumber="1" containsInteger="1" minValue="1" maxValue="5"/>
    </cacheField>
    <cacheField name="98) Não gosto de ir a museus de arte" numFmtId="0">
      <sharedItems containsSemiMixedTypes="0" containsString="0" containsNumber="1" containsInteger="1" minValue="1" maxValue="5"/>
    </cacheField>
    <cacheField name="99) Obstruo os planos dos outros" numFmtId="0">
      <sharedItems containsSemiMixedTypes="0" containsString="0" containsNumber="1" containsInteger="1" minValue="1" maxValue="5"/>
    </cacheField>
    <cacheField name="100) Deixo os meus pertences em qualquer lado" numFmtId="0">
      <sharedItems containsSemiMixedTypes="0" containsString="0" containsNumber="1" containsInteger="1" minValue="1" maxValue="5"/>
    </cacheField>
    <cacheField name="101) Sinto-me confortável comigo próprio(a)" numFmtId="0">
      <sharedItems containsSemiMixedTypes="0" containsString="0" containsNumber="1" containsInteger="1" minValue="1" maxValue="5"/>
    </cacheField>
    <cacheField name="102) Espero que os outros liderem o caminho" numFmtId="0">
      <sharedItems containsSemiMixedTypes="0" containsString="0" containsNumber="1" containsInteger="1" minValue="1" maxValue="5"/>
    </cacheField>
    <cacheField name="103) Não entendo as pessoas que se emocionam" numFmtId="0">
      <sharedItems containsSemiMixedTypes="0" containsString="0" containsNumber="1" containsInteger="1" minValue="1" maxValue="5"/>
    </cacheField>
    <cacheField name="104) Não dedico tempo para os outros" numFmtId="0">
      <sharedItems containsSemiMixedTypes="0" containsString="0" containsNumber="1" containsInteger="1" minValue="1" maxValue="3"/>
    </cacheField>
    <cacheField name="105) Quebro as minhas promessas" numFmtId="0">
      <sharedItems containsSemiMixedTypes="0" containsString="0" containsNumber="1" containsInteger="1" minValue="1" maxValue="4"/>
    </cacheField>
    <cacheField name="106) Não me incomodo com situações sociais difíceis" numFmtId="0">
      <sharedItems containsSemiMixedTypes="0" containsString="0" containsNumber="1" containsInteger="1" minValue="1" maxValue="5"/>
    </cacheField>
    <cacheField name="107) Gosto de ir com calma" numFmtId="0">
      <sharedItems containsSemiMixedTypes="0" containsString="0" containsNumber="1" containsInteger="1" minValue="1" maxValue="5"/>
    </cacheField>
    <cacheField name="108) Sou apegado às formas convencionais" numFmtId="0">
      <sharedItems containsSemiMixedTypes="0" containsString="0" containsNumber="1" containsInteger="1" minValue="1" maxValue="5"/>
    </cacheField>
    <cacheField name="109) Viro-me contra os outros" numFmtId="0">
      <sharedItems containsSemiMixedTypes="0" containsString="0" containsNumber="1" containsInteger="1" minValue="1" maxValue="5"/>
    </cacheField>
    <cacheField name="110) Dedico pouco tempo e esforço ao meu trabalho" numFmtId="0">
      <sharedItems containsSemiMixedTypes="0" containsString="0" containsNumber="1" containsInteger="1" minValue="1" maxValue="4"/>
    </cacheField>
    <cacheField name="111) Sou capaz de controlar os meus desejos" numFmtId="0">
      <sharedItems containsSemiMixedTypes="0" containsString="0" containsNumber="1" containsInteger="1" minValue="1" maxValue="5"/>
    </cacheField>
    <cacheField name="112)_x0009_Ajo de forma selvagem e louca" numFmtId="0">
      <sharedItems containsSemiMixedTypes="0" containsString="0" containsNumber="1" containsInteger="1" minValue="1" maxValue="4"/>
    </cacheField>
    <cacheField name="113) Não estou interessado em discussões teóricas" numFmtId="0">
      <sharedItems containsSemiMixedTypes="0" containsString="0" containsNumber="1" containsInteger="1" minValue="1" maxValue="5"/>
    </cacheField>
    <cacheField name="114) Gabo-me das minhas virtudes" numFmtId="0">
      <sharedItems containsSemiMixedTypes="0" containsString="0" containsNumber="1" containsInteger="1" minValue="1" maxValue="4"/>
    </cacheField>
    <cacheField name="115) Tenho dificuldade em iniciar tarefas" numFmtId="0">
      <sharedItems containsSemiMixedTypes="0" containsString="0" containsNumber="1" containsInteger="1" minValue="1" maxValue="5"/>
    </cacheField>
    <cacheField name="116) Permaneço calmo(a) sob pressão" numFmtId="0">
      <sharedItems containsSemiMixedTypes="0" containsString="0" containsNumber="1" containsInteger="1" minValue="1" maxValue="5"/>
    </cacheField>
    <cacheField name="117) Vejo o lado bom da vida" numFmtId="0">
      <sharedItems containsSemiMixedTypes="0" containsString="0" containsNumber="1" containsInteger="1" minValue="1" maxValue="5"/>
    </cacheField>
    <cacheField name="118) Acredito que devemos ser inflexíveis com o crime" numFmtId="0">
      <sharedItems containsSemiMixedTypes="0" containsString="0" containsNumber="1" containsInteger="1" minValue="1" maxValue="5"/>
    </cacheField>
    <cacheField name="119) Tento não pensar nos necessitados" numFmtId="0">
      <sharedItems containsSemiMixedTypes="0" containsString="0" containsNumber="1" containsInteger="1" minValue="1" maxValue="5"/>
    </cacheField>
    <cacheField name="120) Ajo sem pensar" numFmtId="0">
      <sharedItems containsSemiMixedTypes="0" containsString="0" containsNumber="1" containsInteger="1" minValue="1" maxValue="4"/>
    </cacheField>
    <cacheField name="C1_SelfEfficacy" numFmtId="0">
      <sharedItems containsSemiMixedTypes="0" containsString="0" containsNumber="1" minValue="1.25" maxValue="5"/>
    </cacheField>
    <cacheField name="C2_Order" numFmtId="0">
      <sharedItems containsSemiMixedTypes="0" containsString="0" containsNumber="1" minValue="1" maxValue="5"/>
    </cacheField>
    <cacheField name="C3_Dutifulness" numFmtId="0">
      <sharedItems containsSemiMixedTypes="0" containsString="0" containsNumber="1" minValue="2.75" maxValue="5"/>
    </cacheField>
    <cacheField name="C4_Achievement" numFmtId="0">
      <sharedItems containsSemiMixedTypes="0" containsString="0" containsNumber="1" minValue="1.75" maxValue="5" count="12">
        <n v="2.5"/>
        <n v="4"/>
        <n v="4.5"/>
        <n v="2.75"/>
        <n v="1.75"/>
        <n v="4.25"/>
        <n v="4.75"/>
        <n v="3.5"/>
        <n v="3.75"/>
        <n v="5"/>
        <n v="3.25"/>
        <n v="3"/>
      </sharedItems>
    </cacheField>
    <cacheField name="C5_SelfDiscipline" numFmtId="0">
      <sharedItems containsSemiMixedTypes="0" containsString="0" containsNumber="1" minValue="1.5" maxValue="5"/>
    </cacheField>
    <cacheField name="C6_Cautiousness" numFmtId="0">
      <sharedItems containsSemiMixedTypes="0" containsString="0" containsNumber="1" minValue="1.75" maxValue="5" count="14">
        <n v="2"/>
        <n v="3.25"/>
        <n v="4"/>
        <n v="4.5"/>
        <n v="3.5"/>
        <n v="3"/>
        <n v="2.75"/>
        <n v="4.75"/>
        <n v="3.75"/>
        <n v="5"/>
        <n v="4.25"/>
        <n v="2.25"/>
        <n v="2.5"/>
        <n v="1.75"/>
      </sharedItems>
    </cacheField>
    <cacheField name="N1_Anxiety" numFmtId="0">
      <sharedItems containsSemiMixedTypes="0" containsString="0" containsNumber="1" minValue="1.75" maxValue="5"/>
    </cacheField>
    <cacheField name="N2_Anger" numFmtId="0">
      <sharedItems containsSemiMixedTypes="0" containsString="0" containsNumber="1" minValue="1" maxValue="4.75" count="16">
        <n v="2"/>
        <n v="2.5"/>
        <n v="2.75"/>
        <n v="3"/>
        <n v="3.5"/>
        <n v="2.25"/>
        <n v="1"/>
        <n v="4.25"/>
        <n v="1.75"/>
        <n v="4"/>
        <n v="1.25"/>
        <n v="4.75"/>
        <n v="3.75"/>
        <n v="1.5"/>
        <n v="3.25"/>
        <n v="4.5"/>
      </sharedItems>
    </cacheField>
    <cacheField name="N3_Depression" numFmtId="0">
      <sharedItems containsSemiMixedTypes="0" containsString="0" containsNumber="1" minValue="1" maxValue="4.75"/>
    </cacheField>
    <cacheField name="N4_SelfConsc" numFmtId="0">
      <sharedItems containsSemiMixedTypes="0" containsString="0" containsNumber="1" minValue="1" maxValue="4.75"/>
    </cacheField>
    <cacheField name="N5_Immoderation" numFmtId="0">
      <sharedItems containsSemiMixedTypes="0" containsString="0" containsNumber="1" minValue="1.25" maxValue="5"/>
    </cacheField>
    <cacheField name="N6_Vulnerability" numFmtId="0">
      <sharedItems containsSemiMixedTypes="0" containsString="0" containsNumber="1" minValue="1" maxValue="4.5"/>
    </cacheField>
    <cacheField name="E1_Friendliness" numFmtId="0">
      <sharedItems containsSemiMixedTypes="0" containsString="0" containsNumber="1" minValue="1.25" maxValue="5" count="15">
        <n v="1.5"/>
        <n v="4"/>
        <n v="3"/>
        <n v="2.75"/>
        <n v="3.5"/>
        <n v="4.5"/>
        <n v="3.75"/>
        <n v="4.25"/>
        <n v="4.75"/>
        <n v="3.25"/>
        <n v="2.5"/>
        <n v="5"/>
        <n v="1.75"/>
        <n v="1.25"/>
        <n v="2.25"/>
      </sharedItems>
    </cacheField>
    <cacheField name="E2_Gregarious" numFmtId="0">
      <sharedItems containsSemiMixedTypes="0" containsString="0" containsNumber="1" minValue="1" maxValue="4.75"/>
    </cacheField>
    <cacheField name="E3_Assertiveness" numFmtId="0">
      <sharedItems containsSemiMixedTypes="0" containsString="0" containsNumber="1" minValue="1.5" maxValue="5"/>
    </cacheField>
    <cacheField name="E4_Activity" numFmtId="0">
      <sharedItems containsSemiMixedTypes="0" containsString="0" containsNumber="1" minValue="1.25" maxValue="4.25"/>
    </cacheField>
    <cacheField name="E5_ExcitementSeek" numFmtId="0">
      <sharedItems containsSemiMixedTypes="0" containsString="0" containsNumber="1" minValue="1.5" maxValue="4.5" count="12">
        <n v="1.5"/>
        <n v="4"/>
        <n v="2.75"/>
        <n v="2.25"/>
        <n v="2.5"/>
        <n v="3.75"/>
        <n v="3.25"/>
        <n v="3"/>
        <n v="3.5"/>
        <n v="2"/>
        <n v="1.75"/>
        <n v="4.5"/>
      </sharedItems>
    </cacheField>
    <cacheField name="E6_Cheerfulness" numFmtId="0">
      <sharedItems containsSemiMixedTypes="0" containsString="0" containsNumber="1" minValue="2" maxValue="5" count="13">
        <n v="2.75"/>
        <n v="4.25"/>
        <n v="4"/>
        <n v="4.5"/>
        <n v="2"/>
        <n v="2.5"/>
        <n v="4.75"/>
        <n v="3.75"/>
        <n v="3.5"/>
        <n v="2.25"/>
        <n v="3.25"/>
        <n v="3"/>
        <n v="5"/>
      </sharedItems>
    </cacheField>
    <cacheField name="O1_Imagination" numFmtId="0">
      <sharedItems containsSemiMixedTypes="0" containsString="0" containsNumber="1" minValue="2" maxValue="5"/>
    </cacheField>
    <cacheField name="O2_ArtisticInterests" numFmtId="0">
      <sharedItems containsSemiMixedTypes="0" containsString="0" containsNumber="1" minValue="1.5" maxValue="5"/>
    </cacheField>
    <cacheField name="O3_Emotionality" numFmtId="0">
      <sharedItems containsSemiMixedTypes="0" containsString="0" containsNumber="1" minValue="2" maxValue="5"/>
    </cacheField>
    <cacheField name="O4_Adventurous" numFmtId="0">
      <sharedItems containsSemiMixedTypes="0" containsString="0" containsNumber="1" minValue="1.5" maxValue="5" count="15">
        <n v="1.5"/>
        <n v="4"/>
        <n v="3.75"/>
        <n v="2.25"/>
        <n v="1.75"/>
        <n v="3.25"/>
        <n v="4.75"/>
        <n v="2.75"/>
        <n v="2.5"/>
        <n v="5"/>
        <n v="3"/>
        <n v="3.5"/>
        <n v="4.25"/>
        <n v="4.5"/>
        <n v="2"/>
      </sharedItems>
    </cacheField>
    <cacheField name="O5_Intellect" numFmtId="0">
      <sharedItems containsSemiMixedTypes="0" containsString="0" containsNumber="1" minValue="1.25" maxValue="5"/>
    </cacheField>
    <cacheField name="O6_Liberalism" numFmtId="0">
      <sharedItems containsSemiMixedTypes="0" containsString="0" containsNumber="1" minValue="2" maxValue="4.75"/>
    </cacheField>
    <cacheField name="A1_Trust" numFmtId="0">
      <sharedItems containsSemiMixedTypes="0" containsString="0" containsNumber="1" minValue="1.25" maxValue="5"/>
    </cacheField>
    <cacheField name="A2_Morality" numFmtId="0">
      <sharedItems containsSemiMixedTypes="0" containsString="0" containsNumber="1" minValue="2.75" maxValue="5"/>
    </cacheField>
    <cacheField name="A3_Altruism" numFmtId="0">
      <sharedItems containsSemiMixedTypes="0" containsString="0" containsNumber="1" minValue="3.25" maxValue="5"/>
    </cacheField>
    <cacheField name="A4_Cooperation" numFmtId="0">
      <sharedItems containsSemiMixedTypes="0" containsString="0" containsNumber="1" minValue="1.75" maxValue="5"/>
    </cacheField>
    <cacheField name="A5_Modesty" numFmtId="0">
      <sharedItems containsSemiMixedTypes="0" containsString="0" containsNumber="1" minValue="1.75" maxValue="5" count="14">
        <n v="4.5"/>
        <n v="3.75"/>
        <n v="3.5"/>
        <n v="4"/>
        <n v="2"/>
        <n v="3"/>
        <n v="3.25"/>
        <n v="2.75"/>
        <n v="2.25"/>
        <n v="2.5"/>
        <n v="4.25"/>
        <n v="5"/>
        <n v="4.75"/>
        <n v="1.75"/>
      </sharedItems>
    </cacheField>
    <cacheField name="A6_Sympathy" numFmtId="0">
      <sharedItems containsSemiMixedTypes="0" containsString="0" containsNumber="1" minValue="1.75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n v="2"/>
    <d v="2023-06-19T10:53:24"/>
    <d v="2023-06-19T10:59:10"/>
    <s v="Consinto em participar no questionário e que os dados recolhidos sejam utilizados para os fins acima referidos."/>
    <s v="21"/>
    <s v="Masculino"/>
    <s v="Solteiro(a)"/>
    <s v="Não"/>
    <s v="Ensino secundário"/>
    <s v="Outra"/>
    <s v="Desempregado(a)"/>
    <s v="Desempregado"/>
    <s v="Uma vez por semana"/>
    <s v="Consolas portáteis (Nintendo switch, PSP, Wii U, etc..);Computador (portátil, desktop...);Consolas fixas (XBox, Playstation...);Dispositivos móveis (telemóvel, tablet);"/>
    <s v="Batalha/luta;Acção;Estratégia;"/>
    <m/>
    <m/>
    <m/>
    <m/>
    <m/>
    <m/>
    <m/>
    <m/>
    <m/>
    <m/>
    <m/>
    <m/>
    <m/>
    <m/>
    <m/>
    <m/>
    <n v="0"/>
    <n v="1"/>
    <n v="8.320881"/>
    <n v="0"/>
    <n v="0"/>
    <m/>
    <m/>
    <m/>
    <m/>
    <m/>
    <m/>
    <n v="1"/>
    <n v="0.33333333333333331"/>
    <n v="5.5350789999999996"/>
    <n v="0.1225"/>
    <m/>
    <m/>
    <m/>
    <m/>
    <m/>
    <m/>
    <m/>
    <n v="0"/>
    <n v="1"/>
    <n v="5.2609339999999998"/>
    <n v="0"/>
    <n v="0"/>
    <m/>
    <m/>
    <m/>
    <m/>
    <m/>
    <m/>
    <n v="0"/>
    <n v="1"/>
    <n v="9.6801250000000003"/>
    <n v="0"/>
    <m/>
    <m/>
    <m/>
    <m/>
    <n v="0"/>
    <n v="1"/>
    <n v="22.557061000000001"/>
    <n v="0"/>
    <n v="0"/>
    <m/>
    <m/>
    <m/>
    <m/>
    <m/>
    <m/>
    <m/>
    <m/>
    <m/>
    <m/>
    <m/>
    <m/>
    <m/>
    <x v="0"/>
    <n v="0"/>
    <n v="0"/>
    <n v="0"/>
    <n v="0"/>
    <n v="0"/>
    <n v="2.0833333333333332E-2"/>
    <n v="0.18269230769230768"/>
    <n v="0"/>
    <n v="150"/>
    <n v="190"/>
    <n v="0"/>
    <n v="0"/>
    <n v="0.12727272727272726"/>
    <n v="0"/>
    <n v="116"/>
    <n v="140"/>
    <n v="0"/>
    <x v="0"/>
    <n v="0"/>
    <s v="Na secção 3, o jogador entrou sem querer na armadilha. Contabilizou 5 moedas no caminho fácil, apesar de apenas conter 2."/>
    <n v="4"/>
    <n v="2"/>
    <n v="2"/>
    <n v="2"/>
    <n v="2"/>
    <n v="2"/>
    <n v="1"/>
    <n v="3"/>
    <n v="1"/>
    <n v="3"/>
    <n v="3"/>
    <n v="3"/>
    <n v="2"/>
    <n v="4"/>
    <n v="5"/>
    <n v="5"/>
    <n v="3"/>
    <n v="1"/>
    <n v="2"/>
    <n v="3"/>
    <n v="4"/>
    <n v="2"/>
    <n v="4"/>
    <n v="1"/>
    <n v="2"/>
    <n v="2"/>
    <n v="2"/>
    <n v="3"/>
    <n v="5"/>
    <n v="4"/>
    <n v="5"/>
    <n v="1"/>
    <n v="3"/>
    <n v="2"/>
    <n v="1"/>
    <n v="2"/>
    <n v="1"/>
    <n v="1"/>
    <n v="1"/>
    <n v="5"/>
    <n v="5"/>
    <n v="1"/>
    <n v="3"/>
    <n v="4"/>
    <n v="5"/>
    <n v="5"/>
    <n v="1"/>
    <n v="5"/>
    <n v="2"/>
    <n v="2"/>
    <n v="2"/>
    <n v="1"/>
    <n v="1"/>
    <n v="3"/>
    <n v="4"/>
    <n v="1"/>
    <n v="3"/>
    <n v="4"/>
    <n v="5"/>
    <n v="4"/>
    <n v="5"/>
    <n v="5"/>
    <n v="4"/>
    <n v="2"/>
    <n v="1"/>
    <n v="2"/>
    <n v="4"/>
    <n v="5"/>
    <n v="4"/>
    <n v="1"/>
    <n v="3"/>
    <n v="3"/>
    <n v="3"/>
    <n v="3"/>
    <n v="2"/>
    <n v="3"/>
    <n v="5"/>
    <n v="4"/>
    <n v="5"/>
    <n v="2"/>
    <n v="4"/>
    <n v="3"/>
    <n v="2"/>
    <n v="3"/>
    <n v="1"/>
    <n v="5"/>
    <n v="5"/>
    <n v="3"/>
    <n v="3"/>
    <n v="3"/>
    <n v="4"/>
    <n v="2"/>
    <n v="4"/>
    <n v="3"/>
    <n v="4"/>
    <n v="1"/>
    <n v="4"/>
    <n v="5"/>
    <n v="5"/>
    <n v="1"/>
    <n v="4"/>
    <n v="1"/>
    <n v="3"/>
    <n v="2"/>
    <n v="2"/>
    <n v="1"/>
    <n v="2"/>
    <n v="5"/>
    <n v="3"/>
    <n v="1"/>
    <n v="3"/>
    <n v="3"/>
    <n v="1"/>
    <n v="2"/>
    <n v="1"/>
    <n v="5"/>
    <n v="2"/>
    <n v="3"/>
    <n v="4"/>
    <n v="3"/>
    <n v="4"/>
    <n v="1.25"/>
    <n v="2.25"/>
    <n v="4.5"/>
    <x v="0"/>
    <n v="2"/>
    <x v="0"/>
    <n v="4"/>
    <x v="0"/>
    <n v="4"/>
    <n v="4.75"/>
    <n v="3.5"/>
    <n v="3"/>
    <x v="0"/>
    <n v="1.25"/>
    <n v="2.5"/>
    <n v="2.25"/>
    <x v="0"/>
    <x v="0"/>
    <n v="3"/>
    <n v="1.5"/>
    <n v="3"/>
    <x v="0"/>
    <n v="4"/>
    <n v="3"/>
    <n v="2"/>
    <n v="5"/>
    <n v="4"/>
    <n v="4.25"/>
    <x v="0"/>
    <n v="4"/>
  </r>
  <r>
    <n v="3"/>
    <d v="2023-06-19T12:05:56"/>
    <d v="2023-06-19T12:07:53"/>
    <s v="Consinto em participar no questionário e que os dados recolhidos sejam utilizados para os fins acima referidos."/>
    <s v="21"/>
    <s v="Masculino"/>
    <s v="Solteiro(a)"/>
    <s v="Não"/>
    <s v="Licenciatura (3-5 anos)"/>
    <s v="Engenharia e Tecnologia"/>
    <s v="Trabalhador(a) por conta de outrem"/>
    <s v="Bolseiro de Investigação "/>
    <s v="Já joguei, mas de momento não jogo"/>
    <s v="Consolas fixas (XBox, Playstation...);Dispositivos móveis (telemóvel, tablet);"/>
    <s v="Aventura;Acção;Estratégia;Plataforma;Simulação;"/>
    <m/>
    <m/>
    <m/>
    <m/>
    <m/>
    <m/>
    <m/>
    <m/>
    <m/>
    <m/>
    <m/>
    <m/>
    <m/>
    <m/>
    <m/>
    <m/>
    <n v="0"/>
    <n v="1"/>
    <n v="3.8909099999999999"/>
    <n v="0"/>
    <n v="0"/>
    <m/>
    <m/>
    <m/>
    <m/>
    <m/>
    <m/>
    <n v="0"/>
    <n v="1"/>
    <n v="11.88232"/>
    <n v="0.55500000000000005"/>
    <n v="0"/>
    <m/>
    <m/>
    <m/>
    <m/>
    <m/>
    <m/>
    <n v="0"/>
    <n v="1"/>
    <n v="6.2943800000000003"/>
    <n v="0"/>
    <n v="0"/>
    <m/>
    <m/>
    <m/>
    <m/>
    <m/>
    <m/>
    <n v="0"/>
    <n v="1"/>
    <n v="10.7803"/>
    <n v="0"/>
    <m/>
    <m/>
    <m/>
    <m/>
    <n v="0"/>
    <n v="1"/>
    <n v="33.997399999999999"/>
    <n v="0"/>
    <n v="0"/>
    <m/>
    <m/>
    <m/>
    <m/>
    <m/>
    <m/>
    <m/>
    <m/>
    <m/>
    <m/>
    <m/>
    <m/>
    <m/>
    <x v="0"/>
    <n v="0"/>
    <n v="0"/>
    <n v="0"/>
    <n v="0"/>
    <n v="0"/>
    <n v="0.79166666666666663"/>
    <n v="0.66363636363636369"/>
    <n v="2"/>
    <n v="300"/>
    <n v="930"/>
    <n v="2"/>
    <m/>
    <m/>
    <m/>
    <m/>
    <m/>
    <m/>
    <x v="1"/>
    <n v="0"/>
    <m/>
    <n v="5"/>
    <n v="4"/>
    <n v="4"/>
    <n v="3"/>
    <n v="4"/>
    <n v="2"/>
    <n v="5"/>
    <n v="5"/>
    <n v="1"/>
    <n v="4"/>
    <n v="3"/>
    <n v="4"/>
    <n v="5"/>
    <n v="5"/>
    <n v="5"/>
    <n v="3"/>
    <n v="4"/>
    <n v="5"/>
    <n v="1"/>
    <n v="3"/>
    <n v="3"/>
    <n v="5"/>
    <n v="3"/>
    <n v="1"/>
    <n v="2"/>
    <n v="2"/>
    <n v="3"/>
    <n v="4"/>
    <n v="4"/>
    <n v="4"/>
    <n v="3"/>
    <n v="4"/>
    <n v="3"/>
    <n v="4"/>
    <n v="3"/>
    <n v="2"/>
    <n v="5"/>
    <n v="5"/>
    <n v="1"/>
    <n v="1"/>
    <n v="1"/>
    <n v="1"/>
    <n v="4"/>
    <n v="5"/>
    <n v="5"/>
    <n v="5"/>
    <n v="5"/>
    <n v="2"/>
    <n v="1"/>
    <n v="3"/>
    <n v="2"/>
    <n v="5"/>
    <n v="2"/>
    <n v="3"/>
    <n v="4"/>
    <n v="2"/>
    <n v="4"/>
    <n v="5"/>
    <n v="5"/>
    <n v="4"/>
    <n v="2"/>
    <n v="2"/>
    <n v="4"/>
    <n v="4"/>
    <n v="4"/>
    <n v="3"/>
    <n v="3"/>
    <n v="4"/>
    <n v="4"/>
    <n v="1"/>
    <n v="1"/>
    <n v="3"/>
    <n v="4"/>
    <n v="2"/>
    <n v="2"/>
    <n v="3"/>
    <n v="2"/>
    <n v="5"/>
    <n v="3"/>
    <n v="1"/>
    <n v="1"/>
    <n v="3"/>
    <n v="4"/>
    <n v="1"/>
    <n v="1"/>
    <n v="2"/>
    <n v="3"/>
    <n v="5"/>
    <n v="1"/>
    <n v="2"/>
    <n v="2"/>
    <n v="4"/>
    <n v="2"/>
    <n v="5"/>
    <n v="3"/>
    <n v="4"/>
    <n v="3"/>
    <n v="4"/>
    <n v="2"/>
    <n v="1"/>
    <n v="1"/>
    <n v="5"/>
    <n v="3"/>
    <n v="1"/>
    <n v="1"/>
    <n v="2"/>
    <n v="1"/>
    <n v="4"/>
    <n v="2"/>
    <n v="1"/>
    <n v="1"/>
    <n v="4"/>
    <n v="2"/>
    <n v="2"/>
    <n v="1"/>
    <n v="2"/>
    <n v="4"/>
    <n v="5"/>
    <n v="4"/>
    <n v="2"/>
    <n v="1"/>
    <n v="3.75"/>
    <n v="4.75"/>
    <n v="4.25"/>
    <x v="1"/>
    <n v="3.5"/>
    <x v="1"/>
    <n v="3.5"/>
    <x v="1"/>
    <n v="2"/>
    <n v="3.75"/>
    <n v="3"/>
    <n v="2.25"/>
    <x v="1"/>
    <n v="3.75"/>
    <n v="3"/>
    <n v="4"/>
    <x v="1"/>
    <x v="1"/>
    <n v="4"/>
    <n v="4"/>
    <n v="4.5"/>
    <x v="1"/>
    <n v="4"/>
    <n v="4"/>
    <n v="3.5"/>
    <n v="5"/>
    <n v="4.75"/>
    <n v="5"/>
    <x v="0"/>
    <n v="4.25"/>
  </r>
  <r>
    <n v="4"/>
    <d v="2023-06-19T14:38:25"/>
    <d v="2023-06-19T14:40:15"/>
    <s v="Consinto em participar no questionário e que os dados recolhidos sejam utilizados para os fins acima referidos."/>
    <s v="23"/>
    <s v="Masculino"/>
    <s v="Solteiro(a)"/>
    <s v="Não"/>
    <s v="Licenciatura (3-5 anos)"/>
    <s v="Engenharia e Tecnologia"/>
    <s v="Trabalhador-estudante"/>
    <s v="Investigador "/>
    <s v="Algumas vezes por semana"/>
    <s v="Computador (portátil, desktop...);Dispositivos móveis (telemóvel, tablet);"/>
    <s v="Multiplayer;Plataforma;Fantasia;Aventura;Batalha/luta;Puzzles;"/>
    <n v="1"/>
    <n v="0.66666666699999999"/>
    <n v="7.9066229999999997"/>
    <n v="0.6"/>
    <m/>
    <m/>
    <m/>
    <m/>
    <n v="2"/>
    <n v="1"/>
    <n v="24.353812000000001"/>
    <n v="3.55"/>
    <m/>
    <m/>
    <m/>
    <m/>
    <n v="0"/>
    <n v="1"/>
    <n v="14.353303"/>
    <n v="0"/>
    <n v="0"/>
    <m/>
    <m/>
    <m/>
    <m/>
    <m/>
    <m/>
    <n v="0"/>
    <n v="1"/>
    <n v="18.425615000000001"/>
    <n v="0.2"/>
    <n v="0"/>
    <m/>
    <m/>
    <m/>
    <m/>
    <m/>
    <m/>
    <n v="0"/>
    <n v="1"/>
    <n v="5.4467169999999996"/>
    <n v="0"/>
    <n v="0"/>
    <m/>
    <m/>
    <m/>
    <m/>
    <m/>
    <m/>
    <n v="0"/>
    <n v="1"/>
    <n v="12.537616"/>
    <n v="0"/>
    <m/>
    <m/>
    <m/>
    <m/>
    <n v="0"/>
    <n v="1"/>
    <n v="85.616912999999997"/>
    <n v="0"/>
    <n v="0"/>
    <m/>
    <m/>
    <m/>
    <m/>
    <m/>
    <m/>
    <m/>
    <m/>
    <m/>
    <m/>
    <m/>
    <m/>
    <m/>
    <x v="1"/>
    <n v="0"/>
    <n v="0"/>
    <n v="0"/>
    <n v="0"/>
    <n v="1"/>
    <n v="0.16666666666666666"/>
    <n v="0.24545454545454545"/>
    <n v="0"/>
    <n v="98"/>
    <n v="270"/>
    <n v="0"/>
    <m/>
    <m/>
    <m/>
    <m/>
    <m/>
    <m/>
    <x v="1"/>
    <n v="0"/>
    <s v="Na secção 3, contabilizou 5 moedas no caminho fácil, apesar de apenas conter 2."/>
    <n v="4"/>
    <n v="3"/>
    <n v="5"/>
    <n v="3"/>
    <n v="4"/>
    <n v="3"/>
    <n v="2"/>
    <n v="4"/>
    <n v="1"/>
    <n v="3"/>
    <n v="3"/>
    <n v="2"/>
    <n v="4"/>
    <n v="5"/>
    <n v="4"/>
    <n v="4"/>
    <n v="2"/>
    <n v="4"/>
    <n v="1"/>
    <n v="4"/>
    <n v="2"/>
    <n v="4"/>
    <n v="3"/>
    <n v="2"/>
    <n v="3"/>
    <n v="4"/>
    <n v="4"/>
    <n v="3"/>
    <n v="4"/>
    <n v="1"/>
    <n v="4"/>
    <n v="3"/>
    <n v="5"/>
    <n v="3"/>
    <n v="4"/>
    <n v="3"/>
    <n v="2"/>
    <n v="4"/>
    <n v="1"/>
    <n v="5"/>
    <n v="2"/>
    <n v="3"/>
    <n v="4"/>
    <n v="4"/>
    <n v="4"/>
    <n v="4"/>
    <n v="2"/>
    <n v="3"/>
    <n v="1"/>
    <n v="5"/>
    <n v="2"/>
    <n v="3"/>
    <n v="1"/>
    <n v="3"/>
    <n v="2"/>
    <n v="4"/>
    <n v="4"/>
    <n v="4"/>
    <n v="4"/>
    <n v="3"/>
    <n v="2"/>
    <n v="2"/>
    <n v="5"/>
    <n v="3"/>
    <n v="3"/>
    <n v="2"/>
    <n v="4"/>
    <n v="2"/>
    <n v="4"/>
    <n v="2"/>
    <n v="5"/>
    <n v="4"/>
    <n v="3"/>
    <n v="4"/>
    <n v="1"/>
    <n v="2"/>
    <n v="5"/>
    <n v="3"/>
    <n v="2"/>
    <n v="2"/>
    <n v="2"/>
    <n v="4"/>
    <n v="2"/>
    <n v="1"/>
    <n v="3"/>
    <n v="4"/>
    <n v="3"/>
    <n v="4"/>
    <n v="3"/>
    <n v="2"/>
    <n v="2"/>
    <n v="2"/>
    <n v="4"/>
    <n v="4"/>
    <n v="4"/>
    <n v="4"/>
    <n v="3"/>
    <n v="4"/>
    <n v="3"/>
    <n v="2"/>
    <n v="2"/>
    <n v="3"/>
    <n v="3"/>
    <n v="2"/>
    <n v="1"/>
    <n v="2"/>
    <n v="3"/>
    <n v="5"/>
    <n v="2"/>
    <n v="3"/>
    <n v="1"/>
    <n v="4"/>
    <n v="2"/>
    <n v="1"/>
    <n v="1"/>
    <n v="5"/>
    <n v="3"/>
    <n v="4"/>
    <n v="2"/>
    <n v="3"/>
    <n v="2"/>
    <n v="3.75"/>
    <n v="2.25"/>
    <n v="4"/>
    <x v="2"/>
    <n v="2"/>
    <x v="2"/>
    <n v="3"/>
    <x v="2"/>
    <n v="3"/>
    <n v="4"/>
    <n v="2.5"/>
    <n v="3.5"/>
    <x v="2"/>
    <n v="2"/>
    <n v="2.75"/>
    <n v="2"/>
    <x v="2"/>
    <x v="2"/>
    <n v="4.75"/>
    <n v="3.75"/>
    <n v="3.5"/>
    <x v="2"/>
    <n v="4.5"/>
    <n v="3.5"/>
    <n v="2.75"/>
    <n v="4.5"/>
    <n v="4.75"/>
    <n v="4.25"/>
    <x v="1"/>
    <n v="3.75"/>
  </r>
  <r>
    <n v="5"/>
    <d v="2023-06-19T15:08:57"/>
    <d v="2023-06-19T15:11:13"/>
    <s v="Consinto em participar no questionário e que os dados recolhidos sejam utilizados para os fins acima referidos."/>
    <s v="22"/>
    <s v="Masculino"/>
    <s v="Solteiro(a)"/>
    <s v="Não"/>
    <s v="Licenciatura (3-5 anos)"/>
    <s v="Engenharia e Tecnologia"/>
    <s v="Estudante"/>
    <s v="Estudante"/>
    <s v="Uma vez por semana"/>
    <s v="Dispositivos móveis (telemóvel, tablet);"/>
    <s v="Desporto;Simulação;Acção;Estratégia;"/>
    <m/>
    <m/>
    <m/>
    <m/>
    <n v="1"/>
    <n v="0"/>
    <n v="4.518078"/>
    <n v="0"/>
    <n v="0"/>
    <n v="0"/>
    <n v="8.0098939999999992"/>
    <n v="0"/>
    <m/>
    <m/>
    <m/>
    <m/>
    <n v="0"/>
    <n v="1"/>
    <n v="10.795161"/>
    <n v="0"/>
    <n v="0"/>
    <m/>
    <m/>
    <m/>
    <m/>
    <m/>
    <m/>
    <n v="0"/>
    <n v="1"/>
    <n v="9.7450270000000003"/>
    <n v="0.51249999999999996"/>
    <n v="0"/>
    <m/>
    <m/>
    <m/>
    <m/>
    <m/>
    <m/>
    <n v="0"/>
    <n v="1"/>
    <n v="5.2453659999999998"/>
    <n v="0"/>
    <n v="1"/>
    <n v="0"/>
    <n v="1"/>
    <m/>
    <m/>
    <m/>
    <m/>
    <n v="0"/>
    <n v="1"/>
    <n v="10.288352"/>
    <n v="0"/>
    <m/>
    <m/>
    <m/>
    <m/>
    <n v="0"/>
    <n v="1"/>
    <n v="30.647966"/>
    <n v="0"/>
    <n v="0"/>
    <m/>
    <m/>
    <m/>
    <m/>
    <m/>
    <m/>
    <m/>
    <m/>
    <m/>
    <m/>
    <m/>
    <m/>
    <m/>
    <x v="2"/>
    <n v="0"/>
    <n v="0.2"/>
    <n v="0.2"/>
    <n v="0"/>
    <n v="1"/>
    <n v="0.875"/>
    <n v="0.82727272727272727"/>
    <n v="2"/>
    <n v="291"/>
    <n v="1110"/>
    <n v="2"/>
    <m/>
    <m/>
    <m/>
    <m/>
    <m/>
    <m/>
    <x v="1"/>
    <n v="0"/>
    <m/>
    <n v="4"/>
    <n v="3"/>
    <n v="3"/>
    <n v="4"/>
    <n v="4"/>
    <n v="3"/>
    <n v="2"/>
    <n v="3"/>
    <n v="1"/>
    <n v="4"/>
    <n v="2"/>
    <n v="3"/>
    <n v="2"/>
    <n v="4"/>
    <n v="5"/>
    <n v="4"/>
    <n v="2"/>
    <n v="2"/>
    <n v="1"/>
    <n v="3"/>
    <n v="2"/>
    <n v="3"/>
    <n v="1"/>
    <n v="1"/>
    <n v="2"/>
    <n v="3"/>
    <n v="4"/>
    <n v="2"/>
    <n v="3"/>
    <n v="2"/>
    <n v="4"/>
    <n v="3"/>
    <n v="3"/>
    <n v="3"/>
    <n v="3"/>
    <n v="4"/>
    <n v="1"/>
    <n v="3"/>
    <n v="2"/>
    <n v="1"/>
    <n v="2"/>
    <n v="2"/>
    <n v="4"/>
    <n v="5"/>
    <n v="4"/>
    <n v="3"/>
    <n v="2"/>
    <n v="4"/>
    <n v="2"/>
    <n v="3"/>
    <n v="4"/>
    <n v="3"/>
    <n v="5"/>
    <n v="3"/>
    <n v="4"/>
    <n v="3"/>
    <n v="4"/>
    <n v="4"/>
    <n v="4"/>
    <n v="2"/>
    <n v="2"/>
    <n v="4"/>
    <n v="3"/>
    <n v="4"/>
    <n v="3"/>
    <n v="2"/>
    <n v="3"/>
    <n v="3"/>
    <n v="4"/>
    <n v="1"/>
    <n v="1"/>
    <n v="2"/>
    <n v="2"/>
    <n v="3"/>
    <n v="1"/>
    <n v="2"/>
    <n v="4"/>
    <n v="3"/>
    <n v="3"/>
    <n v="2"/>
    <n v="4"/>
    <n v="4"/>
    <n v="2"/>
    <n v="3"/>
    <n v="4"/>
    <n v="3"/>
    <n v="4"/>
    <n v="5"/>
    <n v="3"/>
    <n v="2"/>
    <n v="3"/>
    <n v="3"/>
    <n v="3"/>
    <n v="2"/>
    <n v="2"/>
    <n v="3"/>
    <n v="3"/>
    <n v="4"/>
    <n v="4"/>
    <n v="1"/>
    <n v="2"/>
    <n v="4"/>
    <n v="4"/>
    <n v="2"/>
    <n v="2"/>
    <n v="1"/>
    <n v="3"/>
    <n v="5"/>
    <n v="4"/>
    <n v="2"/>
    <n v="3"/>
    <n v="4"/>
    <n v="1"/>
    <n v="4"/>
    <n v="2"/>
    <n v="3"/>
    <n v="2"/>
    <n v="5"/>
    <n v="3"/>
    <n v="4"/>
    <n v="1"/>
    <n v="3.25"/>
    <n v="4.5"/>
    <n v="4.5"/>
    <x v="3"/>
    <n v="3"/>
    <x v="2"/>
    <n v="3.25"/>
    <x v="3"/>
    <n v="2"/>
    <n v="3.5"/>
    <n v="2"/>
    <n v="3.5"/>
    <x v="3"/>
    <n v="2"/>
    <n v="2.25"/>
    <n v="2"/>
    <x v="3"/>
    <x v="3"/>
    <n v="2.75"/>
    <n v="2.75"/>
    <n v="3.25"/>
    <x v="3"/>
    <n v="1.75"/>
    <n v="3"/>
    <n v="3.75"/>
    <n v="4.75"/>
    <n v="4.5"/>
    <n v="4.25"/>
    <x v="2"/>
    <n v="3.25"/>
  </r>
  <r>
    <n v="6"/>
    <d v="2023-06-19T15:49:59"/>
    <d v="2023-06-19T15:51:32"/>
    <s v="Consinto em participar no questionário e que os dados recolhidos sejam utilizados para os fins acima referidos."/>
    <s v="28"/>
    <s v="Masculino"/>
    <s v="Solteiro(a)"/>
    <s v="Não"/>
    <s v="Mestrado"/>
    <s v="Engenharia e Tecnologia"/>
    <s v="Estudante"/>
    <s v="Engenheiro Informático"/>
    <s v="Algumas vezes por dia"/>
    <s v="Consolas fixas (XBox, Playstation...);Computador (portátil, desktop...);Dispositivos móveis (telemóvel, tablet);"/>
    <s v="Aventura;Acção;Batalha/luta;Estratégia;Fantasia;Multiplayer;RPG/MMORPG;"/>
    <m/>
    <m/>
    <m/>
    <m/>
    <m/>
    <m/>
    <m/>
    <m/>
    <m/>
    <m/>
    <m/>
    <m/>
    <m/>
    <m/>
    <m/>
    <m/>
    <n v="0"/>
    <n v="1"/>
    <n v="4.8630420000000001"/>
    <n v="0"/>
    <n v="0"/>
    <m/>
    <m/>
    <m/>
    <m/>
    <m/>
    <m/>
    <n v="0"/>
    <n v="1"/>
    <n v="19.509039999999999"/>
    <n v="0.255"/>
    <n v="0"/>
    <m/>
    <m/>
    <n v="0"/>
    <n v="0.25"/>
    <n v="20.17193"/>
    <n v="0.59250000000000003"/>
    <m/>
    <m/>
    <m/>
    <m/>
    <n v="0"/>
    <m/>
    <m/>
    <m/>
    <m/>
    <m/>
    <m/>
    <n v="0"/>
    <n v="1"/>
    <n v="10.001799999999999"/>
    <n v="0"/>
    <m/>
    <m/>
    <m/>
    <m/>
    <n v="0"/>
    <n v="1"/>
    <n v="27.41216"/>
    <n v="0"/>
    <n v="0"/>
    <m/>
    <m/>
    <m/>
    <m/>
    <m/>
    <m/>
    <m/>
    <m/>
    <m/>
    <m/>
    <m/>
    <m/>
    <m/>
    <x v="2"/>
    <n v="0"/>
    <n v="0"/>
    <n v="0"/>
    <n v="0"/>
    <n v="0"/>
    <n v="0.20833333333333334"/>
    <n v="0.24545454545454545"/>
    <n v="0"/>
    <n v="134"/>
    <n v="270"/>
    <n v="0"/>
    <m/>
    <m/>
    <m/>
    <m/>
    <m/>
    <m/>
    <x v="1"/>
    <n v="0"/>
    <m/>
    <n v="5"/>
    <n v="2"/>
    <n v="5"/>
    <n v="3"/>
    <n v="3"/>
    <n v="2"/>
    <n v="2"/>
    <n v="5"/>
    <n v="2"/>
    <n v="4"/>
    <n v="5"/>
    <n v="4"/>
    <n v="2"/>
    <n v="5"/>
    <n v="4"/>
    <n v="4"/>
    <n v="2"/>
    <n v="2"/>
    <n v="1"/>
    <n v="1"/>
    <n v="4"/>
    <n v="3"/>
    <n v="5"/>
    <n v="3"/>
    <n v="4"/>
    <n v="5"/>
    <n v="1"/>
    <n v="1"/>
    <n v="3"/>
    <n v="1"/>
    <n v="5"/>
    <n v="4"/>
    <n v="5"/>
    <n v="2"/>
    <n v="1"/>
    <n v="4"/>
    <n v="1"/>
    <n v="5"/>
    <n v="2"/>
    <n v="4"/>
    <n v="5"/>
    <n v="4"/>
    <n v="5"/>
    <n v="4"/>
    <n v="5"/>
    <n v="4"/>
    <n v="1"/>
    <n v="4"/>
    <n v="1"/>
    <n v="3"/>
    <n v="2"/>
    <n v="3"/>
    <n v="2"/>
    <n v="4"/>
    <n v="2"/>
    <n v="4"/>
    <n v="1"/>
    <n v="5"/>
    <n v="5"/>
    <n v="1"/>
    <n v="5"/>
    <n v="2"/>
    <n v="5"/>
    <n v="3"/>
    <n v="2"/>
    <n v="4"/>
    <n v="2"/>
    <n v="1"/>
    <n v="4"/>
    <n v="4"/>
    <n v="2"/>
    <n v="5"/>
    <n v="3"/>
    <n v="2"/>
    <n v="2"/>
    <n v="1"/>
    <n v="3"/>
    <n v="1"/>
    <n v="5"/>
    <n v="1"/>
    <n v="5"/>
    <n v="1"/>
    <n v="2"/>
    <n v="3"/>
    <n v="1"/>
    <n v="5"/>
    <n v="4"/>
    <n v="3"/>
    <n v="4"/>
    <n v="4"/>
    <n v="2"/>
    <n v="5"/>
    <n v="4"/>
    <n v="5"/>
    <n v="4"/>
    <n v="3"/>
    <n v="2"/>
    <n v="1"/>
    <n v="1"/>
    <n v="1"/>
    <n v="1"/>
    <n v="2"/>
    <n v="4"/>
    <n v="4"/>
    <n v="3"/>
    <n v="3"/>
    <n v="3"/>
    <n v="5"/>
    <n v="4"/>
    <n v="1"/>
    <n v="4"/>
    <n v="1"/>
    <n v="1"/>
    <n v="1"/>
    <n v="1"/>
    <n v="4"/>
    <n v="4"/>
    <n v="3"/>
    <n v="5"/>
    <n v="4"/>
    <n v="2"/>
    <n v="2.25"/>
    <n v="3.75"/>
    <n v="4.25"/>
    <x v="4"/>
    <n v="2.25"/>
    <x v="3"/>
    <n v="5"/>
    <x v="4"/>
    <n v="4.75"/>
    <n v="3.5"/>
    <n v="4.5"/>
    <n v="3.75"/>
    <x v="2"/>
    <n v="3"/>
    <n v="3.25"/>
    <n v="1.25"/>
    <x v="3"/>
    <x v="4"/>
    <n v="5"/>
    <n v="5"/>
    <n v="3.25"/>
    <x v="4"/>
    <n v="4.25"/>
    <n v="2.25"/>
    <n v="2.5"/>
    <n v="3.75"/>
    <n v="4"/>
    <n v="5"/>
    <x v="1"/>
    <n v="3"/>
  </r>
  <r>
    <n v="7"/>
    <d v="2023-06-19T15:59:03"/>
    <d v="2023-06-19T16:01:56"/>
    <s v="Consinto em participar no questionário e que os dados recolhidos sejam utilizados para os fins acima referidos."/>
    <s v="56"/>
    <s v="Feminino"/>
    <s v="Num relacionamento (casamento, união de facto, etc.)"/>
    <s v="Sim"/>
    <s v="Mestrado"/>
    <s v="Humanidades"/>
    <s v="Trabalhador(a) por conta de outrem"/>
    <s v="Bibliotecário "/>
    <s v="Já joguei, mas de momento não jogo"/>
    <s v="Dispositivos móveis (telemóvel, tablet);"/>
    <s v="Puzzles;"/>
    <m/>
    <m/>
    <m/>
    <m/>
    <m/>
    <m/>
    <m/>
    <m/>
    <m/>
    <m/>
    <m/>
    <m/>
    <n v="12"/>
    <n v="1"/>
    <n v="9.0021759999999986"/>
    <n v="0"/>
    <n v="0"/>
    <n v="1"/>
    <n v="7.8702169999999994"/>
    <n v="0"/>
    <n v="1"/>
    <n v="1"/>
    <n v="1"/>
    <m/>
    <m/>
    <m/>
    <m/>
    <n v="0"/>
    <n v="1"/>
    <n v="16.316254999999998"/>
    <n v="0"/>
    <n v="0"/>
    <m/>
    <m/>
    <n v="0"/>
    <n v="0.75"/>
    <n v="12.362506"/>
    <n v="0.87"/>
    <m/>
    <m/>
    <m/>
    <m/>
    <m/>
    <m/>
    <m/>
    <m/>
    <m/>
    <m/>
    <m/>
    <n v="0"/>
    <n v="1"/>
    <n v="9.7124140000000008"/>
    <n v="0"/>
    <n v="0"/>
    <n v="0.4"/>
    <n v="73.444446999999997"/>
    <n v="0"/>
    <m/>
    <m/>
    <m/>
    <m/>
    <n v="1"/>
    <n v="1"/>
    <n v="0"/>
    <m/>
    <m/>
    <m/>
    <m/>
    <m/>
    <m/>
    <m/>
    <m/>
    <m/>
    <m/>
    <m/>
    <x v="3"/>
    <n v="1"/>
    <n v="0.4"/>
    <n v="0.4"/>
    <n v="0"/>
    <n v="0"/>
    <n v="8.3333333333333329E-2"/>
    <n v="0.19090909090909092"/>
    <n v="0"/>
    <n v="151"/>
    <n v="210"/>
    <n v="0"/>
    <m/>
    <m/>
    <m/>
    <m/>
    <m/>
    <m/>
    <x v="1"/>
    <n v="0"/>
    <m/>
    <n v="5"/>
    <n v="4"/>
    <n v="3"/>
    <n v="2"/>
    <n v="4"/>
    <n v="2"/>
    <n v="2"/>
    <n v="4"/>
    <n v="2"/>
    <n v="4"/>
    <n v="4"/>
    <n v="4"/>
    <n v="2"/>
    <n v="4"/>
    <n v="4"/>
    <n v="2"/>
    <n v="4"/>
    <n v="3"/>
    <n v="2"/>
    <n v="4"/>
    <n v="2"/>
    <n v="3"/>
    <n v="4"/>
    <n v="2"/>
    <n v="2"/>
    <n v="3"/>
    <n v="2"/>
    <n v="2"/>
    <n v="4"/>
    <n v="3"/>
    <n v="4"/>
    <n v="3"/>
    <n v="3"/>
    <n v="2"/>
    <n v="4"/>
    <n v="2"/>
    <n v="4"/>
    <n v="4"/>
    <n v="1"/>
    <n v="2"/>
    <n v="3"/>
    <n v="3"/>
    <n v="3"/>
    <n v="4"/>
    <n v="4"/>
    <n v="4"/>
    <n v="3"/>
    <n v="2"/>
    <n v="2"/>
    <n v="4"/>
    <n v="3"/>
    <n v="2"/>
    <n v="3"/>
    <n v="2"/>
    <n v="4"/>
    <n v="3"/>
    <n v="3"/>
    <n v="3"/>
    <n v="4"/>
    <n v="3"/>
    <n v="4"/>
    <n v="2"/>
    <n v="3"/>
    <n v="2"/>
    <n v="3"/>
    <n v="3"/>
    <n v="3"/>
    <n v="2"/>
    <n v="4"/>
    <n v="2"/>
    <n v="2"/>
    <n v="4"/>
    <n v="3"/>
    <n v="3"/>
    <n v="2"/>
    <n v="3"/>
    <n v="3"/>
    <n v="3"/>
    <n v="3"/>
    <n v="2"/>
    <n v="2"/>
    <n v="3"/>
    <n v="3"/>
    <n v="3"/>
    <n v="2"/>
    <n v="3"/>
    <n v="3"/>
    <n v="3"/>
    <n v="2"/>
    <n v="2"/>
    <n v="2"/>
    <n v="4"/>
    <n v="3"/>
    <n v="3"/>
    <n v="4"/>
    <n v="4"/>
    <n v="4"/>
    <n v="3"/>
    <n v="2"/>
    <n v="2"/>
    <n v="2"/>
    <n v="3"/>
    <n v="3"/>
    <n v="3"/>
    <n v="2"/>
    <n v="2"/>
    <n v="2"/>
    <n v="3"/>
    <n v="3"/>
    <n v="2"/>
    <n v="2"/>
    <n v="3"/>
    <n v="2"/>
    <n v="3"/>
    <n v="2"/>
    <n v="2"/>
    <n v="3"/>
    <n v="3"/>
    <n v="4"/>
    <n v="2"/>
    <n v="2"/>
    <n v="3.75"/>
    <n v="4"/>
    <n v="3.75"/>
    <x v="1"/>
    <n v="3.25"/>
    <x v="4"/>
    <n v="4.25"/>
    <x v="5"/>
    <n v="3.5"/>
    <n v="3.25"/>
    <n v="2.75"/>
    <n v="3"/>
    <x v="4"/>
    <n v="3"/>
    <n v="3.25"/>
    <n v="3.25"/>
    <x v="4"/>
    <x v="0"/>
    <n v="3"/>
    <n v="4"/>
    <n v="2.75"/>
    <x v="5"/>
    <n v="3.25"/>
    <n v="2.75"/>
    <n v="2"/>
    <n v="4.25"/>
    <n v="4"/>
    <n v="4"/>
    <x v="3"/>
    <n v="4"/>
  </r>
  <r>
    <n v="8"/>
    <d v="2023-06-19T17:15:32"/>
    <d v="2023-06-19T17:17:00"/>
    <s v="Consinto em participar no questionário e que os dados recolhidos sejam utilizados para os fins acima referidos."/>
    <s v="23"/>
    <s v="Masculino"/>
    <s v="Solteiro(a)"/>
    <s v="Não"/>
    <s v="Mestrado"/>
    <s v="Engenharia e Tecnologia"/>
    <s v="Estudante"/>
    <s v="Estudante"/>
    <s v="Já joguei, mas de momento não jogo"/>
    <s v="Não costumo jogar;"/>
    <s v="Nenhum;"/>
    <m/>
    <m/>
    <m/>
    <m/>
    <n v="1"/>
    <n v="0"/>
    <m/>
    <n v="0"/>
    <n v="5"/>
    <n v="1"/>
    <n v="19.640470000000001"/>
    <n v="6.0449999999999999"/>
    <n v="3"/>
    <n v="3"/>
    <m/>
    <n v="7.15"/>
    <n v="0"/>
    <n v="1"/>
    <n v="10"/>
    <n v="0"/>
    <n v="1"/>
    <n v="1"/>
    <n v="1"/>
    <m/>
    <m/>
    <m/>
    <m/>
    <n v="0"/>
    <n v="1"/>
    <n v="10.307259999999999"/>
    <n v="0.05"/>
    <n v="0"/>
    <m/>
    <m/>
    <n v="0"/>
    <n v="1"/>
    <n v="7.2922409999999998"/>
    <n v="0.52249999999999996"/>
    <m/>
    <m/>
    <m/>
    <m/>
    <n v="0"/>
    <m/>
    <m/>
    <n v="1"/>
    <n v="0.4"/>
    <n v="23.21801"/>
    <n v="1.65"/>
    <m/>
    <m/>
    <m/>
    <m/>
    <m/>
    <m/>
    <m/>
    <m/>
    <n v="0"/>
    <n v="1"/>
    <n v="37.348759999999999"/>
    <n v="0"/>
    <n v="0"/>
    <m/>
    <m/>
    <m/>
    <m/>
    <m/>
    <m/>
    <m/>
    <m/>
    <m/>
    <m/>
    <m/>
    <m/>
    <m/>
    <x v="4"/>
    <n v="1"/>
    <n v="0.2"/>
    <n v="0.2"/>
    <n v="0"/>
    <n v="1"/>
    <n v="0.79166666666666663"/>
    <n v="0.89090909090909087"/>
    <n v="2"/>
    <n v="318"/>
    <n v="1180"/>
    <n v="2"/>
    <m/>
    <m/>
    <m/>
    <m/>
    <m/>
    <m/>
    <x v="1"/>
    <n v="0"/>
    <m/>
    <n v="4"/>
    <n v="4"/>
    <n v="4"/>
    <n v="4"/>
    <n v="5"/>
    <n v="1"/>
    <n v="4"/>
    <n v="4"/>
    <n v="3"/>
    <n v="3"/>
    <n v="1"/>
    <n v="5"/>
    <n v="5"/>
    <n v="3"/>
    <n v="5"/>
    <n v="2"/>
    <n v="2"/>
    <n v="5"/>
    <n v="1"/>
    <n v="4"/>
    <n v="4"/>
    <n v="4"/>
    <n v="5"/>
    <n v="4"/>
    <n v="4"/>
    <n v="1"/>
    <n v="4"/>
    <n v="4"/>
    <n v="4"/>
    <n v="3"/>
    <n v="1"/>
    <n v="4"/>
    <n v="4"/>
    <n v="4"/>
    <n v="4"/>
    <n v="1"/>
    <n v="4"/>
    <n v="4"/>
    <n v="3"/>
    <n v="3"/>
    <n v="1"/>
    <n v="4"/>
    <n v="4"/>
    <n v="3"/>
    <n v="5"/>
    <n v="2"/>
    <n v="4"/>
    <n v="1"/>
    <n v="1"/>
    <n v="4"/>
    <n v="2"/>
    <n v="4"/>
    <n v="1"/>
    <n v="4"/>
    <n v="4"/>
    <n v="1"/>
    <n v="4"/>
    <n v="5"/>
    <n v="4"/>
    <n v="3"/>
    <n v="2"/>
    <n v="2"/>
    <n v="4"/>
    <n v="4"/>
    <n v="5"/>
    <n v="1"/>
    <n v="1"/>
    <n v="4"/>
    <n v="4"/>
    <n v="3"/>
    <n v="2"/>
    <n v="1"/>
    <n v="4"/>
    <n v="2"/>
    <n v="2"/>
    <n v="4"/>
    <n v="2"/>
    <n v="4"/>
    <n v="1"/>
    <n v="1"/>
    <n v="1"/>
    <n v="4"/>
    <n v="4"/>
    <n v="1"/>
    <n v="4"/>
    <n v="2"/>
    <n v="1"/>
    <n v="5"/>
    <n v="1"/>
    <n v="1"/>
    <n v="3"/>
    <n v="1"/>
    <n v="2"/>
    <n v="1"/>
    <n v="2"/>
    <n v="4"/>
    <n v="5"/>
    <n v="1"/>
    <n v="2"/>
    <n v="3"/>
    <n v="1"/>
    <n v="5"/>
    <n v="2"/>
    <n v="2"/>
    <n v="2"/>
    <n v="1"/>
    <n v="5"/>
    <n v="2"/>
    <n v="2"/>
    <n v="1"/>
    <n v="2"/>
    <n v="4"/>
    <n v="4"/>
    <n v="1"/>
    <n v="4"/>
    <n v="2"/>
    <n v="5"/>
    <n v="5"/>
    <n v="1"/>
    <n v="2"/>
    <n v="3"/>
    <n v="4.5"/>
    <n v="3.75"/>
    <n v="4.25"/>
    <x v="5"/>
    <n v="4"/>
    <x v="5"/>
    <n v="2"/>
    <x v="6"/>
    <n v="1"/>
    <n v="1.75"/>
    <n v="3"/>
    <n v="1"/>
    <x v="1"/>
    <n v="4.5"/>
    <n v="4.25"/>
    <n v="3.5"/>
    <x v="1"/>
    <x v="3"/>
    <n v="3.25"/>
    <n v="3.5"/>
    <n v="4.25"/>
    <x v="6"/>
    <n v="5"/>
    <n v="4.75"/>
    <n v="4"/>
    <n v="3"/>
    <n v="3.5"/>
    <n v="5"/>
    <x v="4"/>
    <n v="4.25"/>
  </r>
  <r>
    <n v="9"/>
    <d v="2023-06-19T21:03:12"/>
    <d v="2023-06-19T21:04:18"/>
    <s v="Consinto em participar no questionário e que os dados recolhidos sejam utilizados para os fins acima referidos."/>
    <s v="30"/>
    <s v="Masculino"/>
    <s v="Solteiro(a)"/>
    <s v="Não"/>
    <s v="Licenciatura (3-5 anos)"/>
    <s v="Outra"/>
    <s v="Estudante"/>
    <s v="Estudante"/>
    <s v="Já joguei, mas de momento não jogo"/>
    <s v="Computador (portátil, desktop...);Dispositivos móveis (telemóvel, tablet);"/>
    <s v="Estratégia;RPG/MMORPG;Simulação;"/>
    <m/>
    <m/>
    <m/>
    <m/>
    <m/>
    <m/>
    <m/>
    <m/>
    <m/>
    <m/>
    <m/>
    <m/>
    <m/>
    <m/>
    <m/>
    <m/>
    <n v="0"/>
    <n v="1"/>
    <n v="4.5933919999999997"/>
    <n v="0"/>
    <n v="0"/>
    <m/>
    <m/>
    <n v="2"/>
    <n v="0.125"/>
    <m/>
    <n v="2.2000000000000002"/>
    <n v="0"/>
    <n v="1"/>
    <n v="21.40652"/>
    <n v="0.38250000000000001"/>
    <m/>
    <m/>
    <m/>
    <m/>
    <m/>
    <m/>
    <m/>
    <n v="0"/>
    <n v="1"/>
    <n v="6.0231339999999998"/>
    <n v="0"/>
    <n v="0"/>
    <m/>
    <m/>
    <m/>
    <m/>
    <m/>
    <m/>
    <n v="0"/>
    <n v="1"/>
    <n v="11.828573"/>
    <n v="0"/>
    <m/>
    <m/>
    <m/>
    <m/>
    <n v="0"/>
    <n v="1"/>
    <n v="39.700564"/>
    <n v="0"/>
    <n v="0"/>
    <m/>
    <m/>
    <m/>
    <m/>
    <m/>
    <m/>
    <m/>
    <m/>
    <m/>
    <m/>
    <m/>
    <m/>
    <m/>
    <x v="2"/>
    <n v="1"/>
    <n v="0"/>
    <n v="0"/>
    <n v="0"/>
    <n v="0"/>
    <n v="0.60416666666666663"/>
    <n v="0.82727272727272727"/>
    <n v="1"/>
    <n v="300"/>
    <n v="1010"/>
    <n v="1"/>
    <m/>
    <m/>
    <m/>
    <m/>
    <m/>
    <m/>
    <x v="1"/>
    <n v="0"/>
    <m/>
    <n v="5"/>
    <n v="2"/>
    <n v="4"/>
    <n v="3"/>
    <n v="4"/>
    <n v="4"/>
    <n v="2"/>
    <n v="2"/>
    <n v="1"/>
    <n v="2"/>
    <n v="3"/>
    <n v="4"/>
    <n v="3"/>
    <n v="4"/>
    <n v="4"/>
    <n v="1"/>
    <n v="3"/>
    <n v="2"/>
    <n v="1"/>
    <n v="5"/>
    <n v="4"/>
    <n v="3"/>
    <n v="4"/>
    <n v="3"/>
    <n v="3"/>
    <n v="2"/>
    <n v="2"/>
    <n v="3"/>
    <n v="3"/>
    <n v="3"/>
    <n v="4"/>
    <n v="3"/>
    <n v="4"/>
    <n v="2"/>
    <n v="2"/>
    <n v="4"/>
    <n v="4"/>
    <n v="4"/>
    <n v="2"/>
    <n v="4"/>
    <n v="3"/>
    <n v="3"/>
    <n v="3"/>
    <n v="4"/>
    <n v="3"/>
    <n v="1"/>
    <n v="3"/>
    <n v="3"/>
    <n v="4"/>
    <n v="4"/>
    <n v="2"/>
    <n v="3"/>
    <n v="3"/>
    <n v="2"/>
    <n v="4"/>
    <n v="2"/>
    <n v="3"/>
    <n v="4"/>
    <n v="4"/>
    <n v="4"/>
    <n v="2"/>
    <n v="1"/>
    <n v="4"/>
    <n v="3"/>
    <n v="3"/>
    <n v="4"/>
    <n v="2"/>
    <n v="4"/>
    <n v="4"/>
    <n v="2"/>
    <n v="4"/>
    <n v="3"/>
    <n v="2"/>
    <n v="5"/>
    <n v="2"/>
    <n v="2"/>
    <n v="3"/>
    <n v="3"/>
    <n v="4"/>
    <n v="3"/>
    <n v="1"/>
    <n v="2"/>
    <n v="2"/>
    <n v="3"/>
    <n v="2"/>
    <n v="4"/>
    <n v="4"/>
    <n v="3"/>
    <n v="3"/>
    <n v="4"/>
    <n v="2"/>
    <n v="5"/>
    <n v="2"/>
    <n v="4"/>
    <n v="3"/>
    <n v="3"/>
    <n v="1"/>
    <n v="4"/>
    <n v="2"/>
    <n v="2"/>
    <n v="1"/>
    <n v="3"/>
    <n v="2"/>
    <n v="2"/>
    <n v="2"/>
    <n v="2"/>
    <n v="4"/>
    <n v="2"/>
    <n v="2"/>
    <n v="2"/>
    <n v="1"/>
    <n v="2"/>
    <n v="1"/>
    <n v="2"/>
    <n v="2"/>
    <n v="4"/>
    <n v="3"/>
    <n v="2"/>
    <n v="3"/>
    <n v="4"/>
    <n v="4"/>
    <n v="3"/>
    <n v="2.75"/>
    <n v="3.75"/>
    <x v="6"/>
    <n v="2.75"/>
    <x v="6"/>
    <n v="4"/>
    <x v="7"/>
    <n v="3"/>
    <n v="1.75"/>
    <n v="4"/>
    <n v="2.75"/>
    <x v="4"/>
    <n v="3"/>
    <n v="3.25"/>
    <n v="3.25"/>
    <x v="3"/>
    <x v="5"/>
    <n v="4"/>
    <n v="3"/>
    <n v="2.75"/>
    <x v="7"/>
    <n v="3.5"/>
    <n v="3.25"/>
    <n v="2.75"/>
    <n v="4.25"/>
    <n v="4"/>
    <n v="3.5"/>
    <x v="1"/>
    <n v="2.75"/>
  </r>
  <r>
    <n v="10"/>
    <d v="2023-06-20T10:07:39"/>
    <d v="2023-06-20T10:09:54"/>
    <s v="Consinto em participar no questionário e que os dados recolhidos sejam utilizados para os fins acima referidos."/>
    <s v="27"/>
    <s v="Feminino"/>
    <s v="Solteiro(a)"/>
    <s v="Não"/>
    <s v="Mestrado"/>
    <s v="Ciências médicas e da saúde"/>
    <s v="Trabalhador(a) por conta de outrem"/>
    <s v="Nutricionista"/>
    <s v="Já joguei, mas de momento não jogo"/>
    <s v="Dispositivos móveis (telemóvel, tablet);"/>
    <s v="Estratégia;Simulação;Puzzles;"/>
    <m/>
    <m/>
    <m/>
    <m/>
    <m/>
    <m/>
    <m/>
    <m/>
    <n v="1"/>
    <n v="0.75"/>
    <m/>
    <n v="1.0024999999999999"/>
    <m/>
    <m/>
    <m/>
    <m/>
    <m/>
    <m/>
    <m/>
    <m/>
    <m/>
    <m/>
    <m/>
    <n v="12"/>
    <n v="0.375"/>
    <m/>
    <n v="13.535"/>
    <n v="0"/>
    <n v="0.66666666666666663"/>
    <n v="-1"/>
    <n v="0"/>
    <n v="0"/>
    <m/>
    <m/>
    <n v="0"/>
    <n v="0.5"/>
    <n v="9"/>
    <n v="1.2925"/>
    <m/>
    <m/>
    <m/>
    <m/>
    <n v="0"/>
    <m/>
    <m/>
    <n v="1"/>
    <n v="0"/>
    <m/>
    <m/>
    <n v="0"/>
    <n v="1"/>
    <n v="16"/>
    <n v="0"/>
    <n v="3"/>
    <n v="0"/>
    <n v="-1"/>
    <n v="3.2675000000000001"/>
    <m/>
    <m/>
    <m/>
    <m/>
    <m/>
    <m/>
    <m/>
    <m/>
    <m/>
    <m/>
    <m/>
    <m/>
    <m/>
    <m/>
    <m/>
    <m/>
    <m/>
    <m/>
    <x v="5"/>
    <n v="2"/>
    <n v="0"/>
    <n v="0"/>
    <n v="0"/>
    <n v="0"/>
    <n v="0.79166666666666663"/>
    <n v="0.8545454545454545"/>
    <n v="2"/>
    <n v="299"/>
    <n v="1140"/>
    <n v="2"/>
    <n v="0.79166666666666663"/>
    <n v="0.85"/>
    <n v="3"/>
    <n v="308"/>
    <n v="1240"/>
    <n v="2"/>
    <x v="0"/>
    <n v="0"/>
    <s v="Bug no registo de dados. Estimamos tempos no ww"/>
    <n v="5"/>
    <n v="4"/>
    <n v="3"/>
    <n v="4"/>
    <n v="4"/>
    <n v="2"/>
    <n v="4"/>
    <n v="5"/>
    <n v="3"/>
    <n v="5"/>
    <n v="2"/>
    <n v="4"/>
    <n v="4"/>
    <n v="4"/>
    <n v="5"/>
    <n v="2"/>
    <n v="4"/>
    <n v="2"/>
    <n v="1"/>
    <n v="3"/>
    <n v="2"/>
    <n v="3"/>
    <n v="2"/>
    <n v="3"/>
    <n v="4"/>
    <n v="2"/>
    <n v="5"/>
    <n v="2"/>
    <n v="3"/>
    <n v="1"/>
    <n v="5"/>
    <n v="4"/>
    <n v="4"/>
    <n v="5"/>
    <n v="4"/>
    <n v="2"/>
    <n v="1"/>
    <n v="4"/>
    <n v="2"/>
    <n v="2"/>
    <n v="1"/>
    <n v="3"/>
    <n v="4"/>
    <n v="5"/>
    <n v="4"/>
    <n v="2"/>
    <n v="4"/>
    <n v="2"/>
    <n v="1"/>
    <n v="5"/>
    <n v="4"/>
    <n v="4"/>
    <n v="4"/>
    <n v="4"/>
    <n v="4"/>
    <n v="2"/>
    <n v="4"/>
    <n v="5"/>
    <n v="4"/>
    <n v="1"/>
    <n v="3"/>
    <n v="2"/>
    <n v="4"/>
    <n v="4"/>
    <n v="4"/>
    <n v="2"/>
    <n v="2"/>
    <n v="2"/>
    <n v="4"/>
    <n v="2"/>
    <n v="3"/>
    <n v="1"/>
    <n v="3"/>
    <n v="2"/>
    <n v="1"/>
    <n v="2"/>
    <n v="1"/>
    <n v="4"/>
    <n v="4"/>
    <n v="1"/>
    <n v="2"/>
    <n v="3"/>
    <n v="2"/>
    <n v="2"/>
    <n v="3"/>
    <n v="3"/>
    <n v="2"/>
    <n v="5"/>
    <n v="2"/>
    <n v="1"/>
    <n v="2"/>
    <n v="3"/>
    <n v="2"/>
    <n v="4"/>
    <n v="3"/>
    <n v="5"/>
    <n v="5"/>
    <n v="2"/>
    <n v="3"/>
    <n v="2"/>
    <n v="3"/>
    <n v="4"/>
    <n v="4"/>
    <n v="2"/>
    <n v="1"/>
    <n v="1"/>
    <n v="2"/>
    <n v="5"/>
    <n v="4"/>
    <n v="1"/>
    <n v="2"/>
    <n v="4"/>
    <n v="1"/>
    <n v="4"/>
    <n v="2"/>
    <n v="3"/>
    <n v="4"/>
    <n v="5"/>
    <n v="4"/>
    <n v="2"/>
    <n v="1"/>
    <n v="4.25"/>
    <n v="3.75"/>
    <n v="4.5"/>
    <x v="1"/>
    <n v="3.5"/>
    <x v="7"/>
    <n v="4"/>
    <x v="8"/>
    <n v="1.5"/>
    <n v="2.25"/>
    <n v="2.25"/>
    <n v="2"/>
    <x v="1"/>
    <n v="3.25"/>
    <n v="3"/>
    <n v="3.25"/>
    <x v="4"/>
    <x v="6"/>
    <n v="3.75"/>
    <n v="4"/>
    <n v="4"/>
    <x v="8"/>
    <n v="2.5"/>
    <n v="3.25"/>
    <n v="4"/>
    <n v="3.75"/>
    <n v="4.75"/>
    <n v="5"/>
    <x v="5"/>
    <n v="4"/>
  </r>
  <r>
    <n v="11"/>
    <d v="2023-06-20T12:33:38"/>
    <d v="2023-06-20T12:34:50"/>
    <s v="Consinto em participar no questionário e que os dados recolhidos sejam utilizados para os fins acima referidos."/>
    <s v="23"/>
    <s v="Feminino"/>
    <s v="Solteiro(a)"/>
    <s v="Não"/>
    <s v="Licenciatura (3-5 anos)"/>
    <s v="Engenharia e Tecnologia"/>
    <s v="Estudante"/>
    <s v="Estudante"/>
    <s v="Uma vez por semana"/>
    <s v="Consolas fixas (XBox, Playstation...);Dispositivos móveis (telemóvel, tablet);"/>
    <s v="Desporto;Estratégia;"/>
    <m/>
    <m/>
    <m/>
    <m/>
    <m/>
    <m/>
    <m/>
    <m/>
    <m/>
    <m/>
    <m/>
    <m/>
    <m/>
    <m/>
    <m/>
    <m/>
    <n v="0"/>
    <n v="1"/>
    <n v="5.2202419999999998"/>
    <n v="0"/>
    <n v="1"/>
    <n v="0"/>
    <n v="1"/>
    <m/>
    <m/>
    <m/>
    <m/>
    <n v="0"/>
    <n v="1"/>
    <n v="22.623540999999999"/>
    <n v="0.26500000000000001"/>
    <m/>
    <m/>
    <m/>
    <n v="0"/>
    <n v="1"/>
    <n v="7.8361549999999998"/>
    <n v="0.90749999999999398"/>
    <m/>
    <m/>
    <m/>
    <m/>
    <n v="0"/>
    <m/>
    <m/>
    <m/>
    <m/>
    <m/>
    <m/>
    <n v="0"/>
    <n v="1"/>
    <n v="9.4183279999999989"/>
    <n v="0"/>
    <m/>
    <m/>
    <m/>
    <m/>
    <n v="0"/>
    <n v="0.5"/>
    <n v="31.055253"/>
    <n v="0"/>
    <n v="0"/>
    <m/>
    <m/>
    <m/>
    <m/>
    <m/>
    <m/>
    <m/>
    <m/>
    <m/>
    <m/>
    <m/>
    <m/>
    <m/>
    <x v="2"/>
    <n v="0"/>
    <n v="0.2"/>
    <n v="0.2"/>
    <n v="0"/>
    <n v="0"/>
    <n v="4.1666666666666664E-2"/>
    <n v="0.21818181818181817"/>
    <n v="0"/>
    <n v="132"/>
    <n v="240"/>
    <n v="0"/>
    <m/>
    <m/>
    <m/>
    <m/>
    <m/>
    <m/>
    <x v="1"/>
    <n v="0"/>
    <m/>
    <n v="4"/>
    <n v="5"/>
    <n v="4"/>
    <n v="4"/>
    <n v="3"/>
    <n v="4"/>
    <n v="5"/>
    <n v="5"/>
    <n v="2"/>
    <n v="2"/>
    <n v="2"/>
    <n v="4"/>
    <n v="4"/>
    <n v="5"/>
    <n v="4"/>
    <n v="1"/>
    <n v="3"/>
    <n v="5"/>
    <n v="3"/>
    <n v="3"/>
    <n v="3"/>
    <n v="5"/>
    <n v="2"/>
    <n v="2"/>
    <n v="5"/>
    <n v="1"/>
    <n v="3"/>
    <n v="1"/>
    <n v="5"/>
    <n v="3"/>
    <n v="1"/>
    <n v="4"/>
    <n v="2"/>
    <n v="3"/>
    <n v="2"/>
    <n v="4"/>
    <n v="5"/>
    <n v="5"/>
    <n v="2"/>
    <n v="3"/>
    <n v="1"/>
    <n v="3"/>
    <n v="5"/>
    <n v="5"/>
    <n v="3"/>
    <n v="3"/>
    <n v="4"/>
    <n v="2"/>
    <n v="2"/>
    <n v="4"/>
    <n v="3"/>
    <n v="4"/>
    <n v="1"/>
    <n v="2"/>
    <n v="2"/>
    <n v="1"/>
    <n v="4"/>
    <n v="5"/>
    <n v="5"/>
    <n v="2"/>
    <n v="2"/>
    <n v="1"/>
    <n v="4"/>
    <n v="3"/>
    <n v="2"/>
    <n v="4"/>
    <n v="2"/>
    <n v="2"/>
    <n v="4"/>
    <n v="1"/>
    <n v="4"/>
    <n v="1"/>
    <n v="4"/>
    <n v="2"/>
    <n v="1"/>
    <n v="3"/>
    <n v="3"/>
    <n v="2"/>
    <n v="3"/>
    <n v="2"/>
    <n v="2"/>
    <n v="4"/>
    <n v="4"/>
    <n v="1"/>
    <n v="2"/>
    <n v="4"/>
    <n v="1"/>
    <n v="4"/>
    <n v="3"/>
    <n v="1"/>
    <n v="3"/>
    <n v="2"/>
    <n v="2"/>
    <n v="4"/>
    <n v="4"/>
    <n v="4"/>
    <n v="2"/>
    <n v="2"/>
    <n v="2"/>
    <n v="1"/>
    <n v="2"/>
    <n v="4"/>
    <n v="2"/>
    <n v="1"/>
    <n v="1"/>
    <n v="1"/>
    <n v="4"/>
    <n v="5"/>
    <n v="3"/>
    <n v="2"/>
    <n v="3"/>
    <n v="4"/>
    <n v="2"/>
    <n v="4"/>
    <n v="2"/>
    <n v="2"/>
    <n v="4"/>
    <n v="5"/>
    <n v="2"/>
    <n v="1"/>
    <n v="1"/>
    <n v="2.75"/>
    <n v="2.75"/>
    <n v="3.75"/>
    <x v="7"/>
    <n v="3.25"/>
    <x v="8"/>
    <n v="2.25"/>
    <x v="9"/>
    <n v="1.5"/>
    <n v="2.25"/>
    <n v="2.5"/>
    <n v="1.25"/>
    <x v="5"/>
    <n v="4.5"/>
    <n v="3.75"/>
    <n v="2.5"/>
    <x v="5"/>
    <x v="2"/>
    <n v="3.5"/>
    <n v="4.5"/>
    <n v="4.5"/>
    <x v="2"/>
    <n v="3.5"/>
    <n v="3.25"/>
    <n v="3"/>
    <n v="4.5"/>
    <n v="5"/>
    <n v="3.75"/>
    <x v="3"/>
    <n v="5"/>
  </r>
  <r>
    <n v="12"/>
    <d v="2023-06-20T12:49:49"/>
    <d v="2023-06-20T12:51:38"/>
    <s v="Consinto em participar no questionário e que os dados recolhidos sejam utilizados para os fins acima referidos."/>
    <s v="51"/>
    <s v="Feminino"/>
    <s v="Num relacionamento (casamento, união de facto, etc.)"/>
    <s v="Sim"/>
    <s v="Doutoramento"/>
    <s v="Engenharia e Tecnologia"/>
    <s v="Trabalhador(a) por conta de outrem"/>
    <s v="Professora "/>
    <s v="Já joguei, mas de momento não jogo"/>
    <s v="Dispositivos móveis (telemóvel, tablet);"/>
    <s v="Puzzles;Estratégia;"/>
    <m/>
    <m/>
    <m/>
    <m/>
    <m/>
    <m/>
    <m/>
    <m/>
    <m/>
    <m/>
    <m/>
    <m/>
    <n v="1"/>
    <n v="1"/>
    <n v="13.847379"/>
    <n v="1.05"/>
    <n v="0"/>
    <n v="1"/>
    <n v="24"/>
    <n v="0"/>
    <n v="1"/>
    <n v="1"/>
    <n v="1"/>
    <n v="1"/>
    <n v="0"/>
    <m/>
    <n v="1.1000000000000001"/>
    <n v="0"/>
    <n v="0.66666666666666663"/>
    <n v="18"/>
    <n v="0.3175"/>
    <n v="0"/>
    <m/>
    <m/>
    <m/>
    <m/>
    <m/>
    <m/>
    <n v="0"/>
    <n v="1"/>
    <n v="12"/>
    <n v="0"/>
    <n v="0"/>
    <m/>
    <m/>
    <m/>
    <m/>
    <m/>
    <m/>
    <n v="0"/>
    <n v="1"/>
    <n v="25"/>
    <n v="0"/>
    <m/>
    <m/>
    <m/>
    <m/>
    <n v="0"/>
    <n v="1"/>
    <n v="43"/>
    <n v="0"/>
    <n v="0"/>
    <m/>
    <m/>
    <m/>
    <m/>
    <m/>
    <m/>
    <n v="1"/>
    <n v="0.5"/>
    <n v="29.81709"/>
    <n v="0.875"/>
    <n v="0"/>
    <m/>
    <m/>
    <x v="1"/>
    <n v="0"/>
    <n v="0.2"/>
    <n v="0.2"/>
    <n v="0"/>
    <n v="0"/>
    <n v="2.0833333333333332E-2"/>
    <n v="0.15454545454545454"/>
    <n v="0"/>
    <n v="166"/>
    <n v="170"/>
    <n v="0"/>
    <m/>
    <m/>
    <m/>
    <m/>
    <m/>
    <m/>
    <x v="1"/>
    <n v="0"/>
    <s v="Estimamos tempos ww"/>
    <n v="4"/>
    <n v="4"/>
    <n v="4"/>
    <n v="4"/>
    <n v="4"/>
    <n v="1"/>
    <n v="2"/>
    <n v="4"/>
    <n v="1"/>
    <n v="2"/>
    <n v="2"/>
    <n v="4"/>
    <n v="4"/>
    <n v="5"/>
    <n v="5"/>
    <n v="3"/>
    <n v="4"/>
    <n v="5"/>
    <n v="1"/>
    <n v="5"/>
    <n v="2"/>
    <n v="5"/>
    <n v="5"/>
    <n v="3"/>
    <n v="2"/>
    <n v="2"/>
    <n v="3"/>
    <n v="4"/>
    <n v="4"/>
    <n v="2"/>
    <n v="5"/>
    <n v="5"/>
    <n v="2"/>
    <n v="5"/>
    <n v="5"/>
    <n v="1"/>
    <n v="2"/>
    <n v="5"/>
    <n v="1"/>
    <n v="4"/>
    <n v="1"/>
    <n v="3"/>
    <n v="4"/>
    <n v="4"/>
    <n v="5"/>
    <n v="3"/>
    <n v="4"/>
    <n v="2"/>
    <n v="1"/>
    <n v="3"/>
    <n v="4"/>
    <n v="4"/>
    <n v="2"/>
    <n v="3"/>
    <n v="4"/>
    <n v="2"/>
    <n v="4"/>
    <n v="4"/>
    <n v="4"/>
    <n v="2"/>
    <n v="2"/>
    <n v="2"/>
    <n v="3"/>
    <n v="4"/>
    <n v="4"/>
    <n v="1"/>
    <n v="3"/>
    <n v="2"/>
    <n v="4"/>
    <n v="1"/>
    <n v="1"/>
    <n v="2"/>
    <n v="4"/>
    <n v="2"/>
    <n v="1"/>
    <n v="1"/>
    <n v="3"/>
    <n v="4"/>
    <n v="4"/>
    <n v="1"/>
    <n v="1"/>
    <n v="4"/>
    <n v="3"/>
    <n v="2"/>
    <n v="4"/>
    <n v="2"/>
    <n v="2"/>
    <n v="5"/>
    <n v="1"/>
    <n v="1"/>
    <n v="3"/>
    <n v="3"/>
    <n v="3"/>
    <n v="4"/>
    <n v="2"/>
    <n v="4"/>
    <n v="4"/>
    <n v="4"/>
    <n v="2"/>
    <n v="2"/>
    <n v="4"/>
    <n v="5"/>
    <n v="2"/>
    <n v="2"/>
    <n v="2"/>
    <n v="1"/>
    <n v="1"/>
    <n v="4"/>
    <n v="2"/>
    <n v="1"/>
    <n v="1"/>
    <n v="4"/>
    <n v="1"/>
    <n v="2"/>
    <n v="1"/>
    <n v="2"/>
    <n v="4"/>
    <n v="5"/>
    <n v="4"/>
    <n v="1"/>
    <n v="2"/>
    <n v="4.25"/>
    <n v="2.75"/>
    <n v="5"/>
    <x v="2"/>
    <n v="3.5"/>
    <x v="8"/>
    <n v="3.5"/>
    <x v="10"/>
    <n v="1.5"/>
    <n v="3.5"/>
    <n v="2"/>
    <n v="2"/>
    <x v="1"/>
    <n v="2.25"/>
    <n v="3.75"/>
    <n v="3.5"/>
    <x v="6"/>
    <x v="1"/>
    <n v="3.25"/>
    <n v="4.25"/>
    <n v="4"/>
    <x v="2"/>
    <n v="4.25"/>
    <n v="3.75"/>
    <n v="4.25"/>
    <n v="4.75"/>
    <n v="4.5"/>
    <n v="5"/>
    <x v="6"/>
    <n v="4.5"/>
  </r>
  <r>
    <n v="13"/>
    <d v="2023-06-20T15:06:11"/>
    <d v="2023-06-20T15:09:03"/>
    <s v="Consinto em participar no questionário e que os dados recolhidos sejam utilizados para os fins acima referidos."/>
    <s v="19"/>
    <s v="Masculino"/>
    <s v="Solteiro(a)"/>
    <s v="Não"/>
    <s v="Ensino secundário"/>
    <s v="Engenharia e Tecnologia"/>
    <s v="Estudante"/>
    <s v="Estudante"/>
    <s v="Algumas vezes por dia"/>
    <s v="Consolas portáteis (Nintendo switch, PSP, Wii U, etc..);Computador (portátil, desktop...);Dispositivos móveis (telemóvel, tablet);"/>
    <s v="Fantasia;Aventura;Estratégia;Puzzles;RPG/MMORPG;"/>
    <m/>
    <m/>
    <m/>
    <m/>
    <n v="1"/>
    <n v="0"/>
    <n v="21.010660000000001"/>
    <n v="0"/>
    <n v="1"/>
    <n v="1"/>
    <n v="20.697870000000002"/>
    <n v="1.8574999999999999"/>
    <n v="0"/>
    <n v="1"/>
    <n v="14.44848"/>
    <n v="0"/>
    <m/>
    <m/>
    <m/>
    <m/>
    <n v="2"/>
    <n v="1"/>
    <n v="1"/>
    <n v="2"/>
    <n v="0.875"/>
    <n v="21.80959"/>
    <n v="2.2000000000000002"/>
    <m/>
    <m/>
    <m/>
    <m/>
    <n v="0"/>
    <m/>
    <m/>
    <m/>
    <m/>
    <m/>
    <m/>
    <n v="0"/>
    <n v="1"/>
    <n v="36"/>
    <n v="0"/>
    <n v="0"/>
    <m/>
    <m/>
    <m/>
    <m/>
    <m/>
    <m/>
    <n v="0"/>
    <n v="1"/>
    <n v="27.701840000000001"/>
    <n v="0"/>
    <m/>
    <m/>
    <m/>
    <m/>
    <n v="0"/>
    <n v="1"/>
    <n v="25.06176"/>
    <n v="0"/>
    <n v="0"/>
    <m/>
    <m/>
    <n v="2"/>
    <n v="0"/>
    <m/>
    <n v="2.1"/>
    <n v="0"/>
    <n v="1"/>
    <n v="12.74147"/>
    <n v="4.2500000000000003E-2"/>
    <n v="0"/>
    <m/>
    <m/>
    <x v="4"/>
    <n v="1"/>
    <n v="0.2"/>
    <n v="0.2"/>
    <n v="0"/>
    <n v="1"/>
    <n v="1"/>
    <n v="1"/>
    <n v="3"/>
    <n v="318"/>
    <n v="1400"/>
    <n v="3"/>
    <n v="1"/>
    <n v="1"/>
    <n v="3"/>
    <n v="285"/>
    <n v="1400"/>
    <n v="3"/>
    <x v="0"/>
    <n v="0"/>
    <s v="Estimamos tempos ww"/>
    <n v="5"/>
    <n v="5"/>
    <n v="5"/>
    <n v="4"/>
    <n v="5"/>
    <n v="2"/>
    <n v="3"/>
    <n v="4"/>
    <n v="3"/>
    <n v="4"/>
    <n v="3"/>
    <n v="3"/>
    <n v="4"/>
    <n v="5"/>
    <n v="5"/>
    <n v="1"/>
    <n v="3"/>
    <n v="5"/>
    <n v="3"/>
    <n v="4"/>
    <n v="3"/>
    <n v="5"/>
    <n v="5"/>
    <n v="2"/>
    <n v="3"/>
    <n v="1"/>
    <n v="3"/>
    <n v="1"/>
    <n v="4"/>
    <n v="1"/>
    <n v="1"/>
    <n v="5"/>
    <n v="5"/>
    <n v="4"/>
    <n v="3"/>
    <n v="1"/>
    <n v="3"/>
    <n v="5"/>
    <n v="1"/>
    <n v="3"/>
    <n v="1"/>
    <n v="3"/>
    <n v="4"/>
    <n v="5"/>
    <n v="4"/>
    <n v="1"/>
    <n v="5"/>
    <n v="1"/>
    <n v="1"/>
    <n v="4"/>
    <n v="4"/>
    <n v="5"/>
    <n v="1"/>
    <n v="5"/>
    <n v="5"/>
    <n v="2"/>
    <n v="5"/>
    <n v="5"/>
    <n v="4"/>
    <n v="1"/>
    <n v="3"/>
    <n v="1"/>
    <n v="5"/>
    <n v="3"/>
    <n v="5"/>
    <n v="1"/>
    <n v="3"/>
    <n v="3"/>
    <n v="4"/>
    <n v="1"/>
    <n v="3"/>
    <n v="3"/>
    <n v="3"/>
    <n v="1"/>
    <n v="1"/>
    <n v="1"/>
    <n v="2"/>
    <n v="4"/>
    <n v="1"/>
    <n v="1"/>
    <n v="2"/>
    <n v="5"/>
    <n v="4"/>
    <n v="2"/>
    <n v="5"/>
    <n v="3"/>
    <n v="1"/>
    <n v="5"/>
    <n v="1"/>
    <n v="2"/>
    <n v="1"/>
    <n v="1"/>
    <n v="3"/>
    <n v="5"/>
    <n v="3"/>
    <n v="3"/>
    <n v="5"/>
    <n v="2"/>
    <n v="3"/>
    <n v="1"/>
    <n v="2"/>
    <n v="5"/>
    <n v="2"/>
    <n v="3"/>
    <n v="2"/>
    <n v="1"/>
    <n v="4"/>
    <n v="5"/>
    <n v="1"/>
    <n v="1"/>
    <n v="1"/>
    <n v="5"/>
    <n v="1"/>
    <n v="2"/>
    <n v="1"/>
    <n v="3"/>
    <n v="5"/>
    <n v="5"/>
    <n v="2"/>
    <n v="1"/>
    <n v="1"/>
    <n v="4"/>
    <n v="3.5"/>
    <n v="4.75"/>
    <x v="5"/>
    <n v="3.5"/>
    <x v="9"/>
    <n v="2.5"/>
    <x v="10"/>
    <n v="2"/>
    <n v="1.5"/>
    <n v="1.75"/>
    <n v="1.25"/>
    <x v="5"/>
    <n v="3.25"/>
    <n v="3.25"/>
    <n v="3.25"/>
    <x v="5"/>
    <x v="3"/>
    <n v="5"/>
    <n v="3.75"/>
    <n v="4"/>
    <x v="9"/>
    <n v="4.5"/>
    <n v="3.75"/>
    <n v="3.5"/>
    <n v="4.5"/>
    <n v="4.75"/>
    <n v="4.5"/>
    <x v="7"/>
    <n v="4.25"/>
  </r>
  <r>
    <n v="14"/>
    <d v="2023-06-20T16:30:40"/>
    <d v="2023-06-20T16:33:01"/>
    <s v="Consinto em participar no questionário e que os dados recolhidos sejam utilizados para os fins acima referidos."/>
    <s v="20"/>
    <s v="Feminino"/>
    <s v="Solteiro(a)"/>
    <s v="Não"/>
    <s v="Ensino secundário"/>
    <s v="Engenharia e Tecnologia"/>
    <s v="Estudante"/>
    <s v="Estudante"/>
    <s v="Uma vez por dia"/>
    <s v="Dispositivos móveis (telemóvel, tablet);Computador (portátil, desktop...);"/>
    <s v="Puzzles;Simulação;"/>
    <m/>
    <m/>
    <m/>
    <m/>
    <m/>
    <m/>
    <m/>
    <m/>
    <m/>
    <m/>
    <m/>
    <m/>
    <m/>
    <m/>
    <m/>
    <m/>
    <n v="0"/>
    <n v="1"/>
    <n v="38"/>
    <n v="0"/>
    <n v="1"/>
    <n v="0"/>
    <n v="5"/>
    <n v="4"/>
    <n v="0.375"/>
    <n v="-1"/>
    <n v="4.4000000000000004"/>
    <n v="0"/>
    <n v="0.33333333333333331"/>
    <n v="32"/>
    <n v="0.23"/>
    <n v="0"/>
    <m/>
    <m/>
    <m/>
    <m/>
    <m/>
    <m/>
    <n v="0"/>
    <n v="1"/>
    <n v="9"/>
    <n v="0"/>
    <n v="1"/>
    <n v="0"/>
    <n v="1"/>
    <m/>
    <m/>
    <m/>
    <m/>
    <n v="0"/>
    <n v="1"/>
    <n v="14"/>
    <n v="0"/>
    <m/>
    <m/>
    <m/>
    <m/>
    <n v="0"/>
    <n v="0.5"/>
    <n v="21"/>
    <n v="0"/>
    <n v="0"/>
    <m/>
    <m/>
    <n v="1"/>
    <n v="0"/>
    <n v="-1"/>
    <n v="1.05"/>
    <n v="0"/>
    <n v="1"/>
    <n v="15.77304"/>
    <n v="5.2499999999999998E-2"/>
    <n v="0"/>
    <m/>
    <m/>
    <x v="1"/>
    <n v="2"/>
    <n v="0.4"/>
    <n v="0.4"/>
    <n v="0"/>
    <n v="0"/>
    <n v="0.1875"/>
    <n v="0.37272727272727274"/>
    <n v="0"/>
    <n v="183"/>
    <n v="410"/>
    <n v="0"/>
    <m/>
    <m/>
    <m/>
    <m/>
    <m/>
    <m/>
    <x v="1"/>
    <n v="0"/>
    <s v="Estimamos tempos ww"/>
    <n v="5"/>
    <n v="4"/>
    <n v="2"/>
    <n v="2"/>
    <n v="4"/>
    <n v="5"/>
    <n v="4"/>
    <n v="3"/>
    <n v="4"/>
    <n v="3"/>
    <n v="2"/>
    <n v="5"/>
    <n v="5"/>
    <n v="4"/>
    <n v="5"/>
    <n v="3"/>
    <n v="5"/>
    <n v="3"/>
    <n v="2"/>
    <n v="5"/>
    <n v="4"/>
    <n v="5"/>
    <n v="5"/>
    <n v="3"/>
    <n v="3"/>
    <n v="2"/>
    <n v="3"/>
    <n v="4"/>
    <n v="3"/>
    <n v="2"/>
    <n v="4"/>
    <n v="4"/>
    <n v="4"/>
    <n v="2"/>
    <n v="3"/>
    <n v="5"/>
    <n v="3"/>
    <n v="5"/>
    <n v="4"/>
    <n v="4"/>
    <n v="1"/>
    <n v="4"/>
    <n v="4"/>
    <n v="4"/>
    <n v="5"/>
    <n v="2"/>
    <n v="4"/>
    <n v="3"/>
    <n v="2"/>
    <n v="4"/>
    <n v="2"/>
    <n v="4"/>
    <n v="1"/>
    <n v="4"/>
    <n v="4"/>
    <n v="2"/>
    <n v="4"/>
    <n v="3"/>
    <n v="4"/>
    <n v="4"/>
    <n v="2"/>
    <n v="2"/>
    <n v="4"/>
    <n v="2"/>
    <n v="4"/>
    <n v="5"/>
    <n v="4"/>
    <n v="2"/>
    <n v="4"/>
    <n v="3"/>
    <n v="2"/>
    <n v="2"/>
    <n v="4"/>
    <n v="2"/>
    <n v="2"/>
    <n v="3"/>
    <n v="2"/>
    <n v="4"/>
    <n v="2"/>
    <n v="1"/>
    <n v="2"/>
    <n v="4"/>
    <n v="4"/>
    <n v="2"/>
    <n v="4"/>
    <n v="2"/>
    <n v="2"/>
    <n v="4"/>
    <n v="3"/>
    <n v="2"/>
    <n v="2"/>
    <n v="4"/>
    <n v="3"/>
    <n v="4"/>
    <n v="4"/>
    <n v="4"/>
    <n v="2"/>
    <n v="2"/>
    <n v="4"/>
    <n v="2"/>
    <n v="3"/>
    <n v="5"/>
    <n v="2"/>
    <n v="2"/>
    <n v="2"/>
    <n v="2"/>
    <n v="3"/>
    <n v="4"/>
    <n v="4"/>
    <n v="3"/>
    <n v="1"/>
    <n v="4"/>
    <n v="2"/>
    <n v="2"/>
    <n v="4"/>
    <n v="3"/>
    <n v="3"/>
    <n v="4"/>
    <n v="3"/>
    <n v="3"/>
    <n v="3"/>
    <n v="3.75"/>
    <n v="3"/>
    <n v="4.25"/>
    <x v="2"/>
    <n v="3.5"/>
    <x v="1"/>
    <n v="3.75"/>
    <x v="11"/>
    <n v="1.5"/>
    <n v="2.5"/>
    <n v="3"/>
    <n v="2.25"/>
    <x v="6"/>
    <n v="3.25"/>
    <n v="4.25"/>
    <n v="3.75"/>
    <x v="5"/>
    <x v="7"/>
    <n v="3.5"/>
    <n v="3.5"/>
    <n v="4.25"/>
    <x v="10"/>
    <n v="4.5"/>
    <n v="3.25"/>
    <n v="2"/>
    <n v="2.75"/>
    <n v="4"/>
    <n v="4"/>
    <x v="8"/>
    <n v="3.5"/>
  </r>
  <r>
    <n v="15"/>
    <d v="2023-06-20T16:30:42"/>
    <d v="2023-06-20T16:33:32"/>
    <s v="Consinto em participar no questionário e que os dados recolhidos sejam utilizados para os fins acima referidos."/>
    <s v="23"/>
    <s v="Masculino"/>
    <s v="Solteiro(a)"/>
    <s v="Não"/>
    <s v="Mestrado"/>
    <s v="Engenharia e Tecnologia"/>
    <s v="Trabalhador-estudante"/>
    <s v="Investigador"/>
    <s v="Uma vez por dia"/>
    <s v="Computador (portátil, desktop...);Dispositivos móveis (telemóvel, tablet);"/>
    <s v="Estratégia;Plataforma;Puzzles;"/>
    <n v="0"/>
    <n v="0.66666666666666663"/>
    <n v="4.7654230000000002"/>
    <n v="0"/>
    <m/>
    <m/>
    <m/>
    <m/>
    <n v="3"/>
    <n v="1"/>
    <n v="21.805764"/>
    <n v="3.9625000000000004"/>
    <m/>
    <m/>
    <m/>
    <m/>
    <n v="0"/>
    <n v="1"/>
    <n v="25.207082999999997"/>
    <n v="0"/>
    <n v="0"/>
    <m/>
    <m/>
    <n v="5"/>
    <n v="0.375"/>
    <n v="15.524627000000001"/>
    <n v="5.1000000000000005"/>
    <m/>
    <m/>
    <m/>
    <m/>
    <n v="0"/>
    <m/>
    <m/>
    <n v="0"/>
    <n v="0.5"/>
    <n v="12.019897"/>
    <n v="0.8"/>
    <n v="0"/>
    <n v="1"/>
    <n v="5.7535730000000003"/>
    <n v="0"/>
    <n v="1"/>
    <n v="1"/>
    <n v="0.6"/>
    <n v="1"/>
    <n v="1"/>
    <n v="23.987946000000001"/>
    <n v="1.05"/>
    <m/>
    <m/>
    <m/>
    <m/>
    <m/>
    <m/>
    <m/>
    <m/>
    <n v="0"/>
    <n v="1"/>
    <n v="7.2324739999999998"/>
    <n v="0"/>
    <n v="0"/>
    <m/>
    <m/>
    <m/>
    <m/>
    <m/>
    <m/>
    <n v="0"/>
    <n v="1"/>
    <n v="11.386163"/>
    <n v="0.03"/>
    <n v="0"/>
    <m/>
    <m/>
    <x v="5"/>
    <n v="0"/>
    <n v="0.2"/>
    <n v="0.2"/>
    <n v="0"/>
    <n v="1"/>
    <n v="0"/>
    <n v="0.19090909090909092"/>
    <n v="0"/>
    <n v="133"/>
    <n v="210"/>
    <n v="0"/>
    <m/>
    <m/>
    <m/>
    <m/>
    <m/>
    <m/>
    <x v="1"/>
    <n v="0"/>
    <m/>
    <n v="4"/>
    <n v="4"/>
    <n v="4"/>
    <n v="4"/>
    <n v="4"/>
    <n v="2"/>
    <n v="3"/>
    <n v="4"/>
    <n v="2"/>
    <n v="3"/>
    <n v="2"/>
    <n v="4"/>
    <n v="3"/>
    <n v="4"/>
    <n v="5"/>
    <n v="2"/>
    <n v="3"/>
    <n v="3"/>
    <n v="5"/>
    <n v="5"/>
    <n v="2"/>
    <n v="3"/>
    <n v="4"/>
    <n v="3"/>
    <n v="3"/>
    <n v="1"/>
    <n v="4"/>
    <n v="3"/>
    <n v="3"/>
    <n v="2"/>
    <n v="3"/>
    <n v="4"/>
    <n v="3"/>
    <n v="4"/>
    <n v="4"/>
    <n v="2"/>
    <n v="3"/>
    <n v="4"/>
    <n v="3"/>
    <n v="2"/>
    <n v="1"/>
    <n v="3"/>
    <n v="4"/>
    <n v="4"/>
    <n v="5"/>
    <n v="3"/>
    <n v="3"/>
    <n v="2"/>
    <n v="1"/>
    <n v="4"/>
    <n v="3"/>
    <n v="3"/>
    <n v="1"/>
    <n v="4"/>
    <n v="4"/>
    <n v="2"/>
    <n v="4"/>
    <n v="2"/>
    <n v="4"/>
    <n v="2"/>
    <n v="2"/>
    <n v="2"/>
    <n v="3"/>
    <n v="3"/>
    <n v="4"/>
    <n v="2"/>
    <n v="2"/>
    <n v="2"/>
    <s v="4 com a pergunta"/>
    <n v="2"/>
    <n v="2"/>
    <n v="2"/>
    <n v="4"/>
    <n v="2"/>
    <n v="1"/>
    <n v="2"/>
    <n v="3"/>
    <n v="4"/>
    <n v="2"/>
    <n v="1"/>
    <n v="1"/>
    <n v="3"/>
    <n v="3"/>
    <n v="1"/>
    <n v="4"/>
    <n v="2"/>
    <n v="1"/>
    <n v="5"/>
    <n v="3"/>
    <n v="2"/>
    <n v="2"/>
    <n v="3"/>
    <n v="2"/>
    <n v="3"/>
    <n v="2"/>
    <n v="4"/>
    <n v="4"/>
    <n v="4"/>
    <n v="2"/>
    <n v="2"/>
    <n v="1"/>
    <n v="5"/>
    <n v="3"/>
    <n v="2"/>
    <n v="1"/>
    <n v="1"/>
    <n v="1"/>
    <n v="4"/>
    <n v="3"/>
    <n v="2"/>
    <n v="1"/>
    <n v="4"/>
    <n v="1"/>
    <n v="1"/>
    <n v="1"/>
    <n v="2"/>
    <n v="4"/>
    <n v="5"/>
    <n v="3"/>
    <n v="2"/>
    <n v="2"/>
    <n v="4"/>
    <n v="4"/>
    <n v="4.75"/>
    <x v="6"/>
    <n v="3.75"/>
    <x v="2"/>
    <n v="3"/>
    <x v="0"/>
    <n v="1.5"/>
    <n v="3.25"/>
    <n v="2.5"/>
    <n v="1.5"/>
    <x v="1"/>
    <n v="3"/>
    <n v="3.5"/>
    <n v="3"/>
    <x v="4"/>
    <x v="3"/>
    <n v="3.25"/>
    <n v="4"/>
    <n v="3.75"/>
    <x v="11"/>
    <n v="4.75"/>
    <n v="2.75"/>
    <n v="3.75"/>
    <n v="3.75"/>
    <n v="4.5"/>
    <n v="3.75"/>
    <x v="5"/>
    <n v="3.75"/>
  </r>
  <r>
    <n v="16"/>
    <d v="2023-06-20T16:40:19"/>
    <d v="2023-06-20T16:46:38"/>
    <s v="Consinto em participar no questionário e que os dados recolhidos sejam utilizados para os fins acima referidos."/>
    <s v="21"/>
    <s v="Masculino"/>
    <s v="Solteiro(a)"/>
    <s v="Não"/>
    <s v="Ensino secundário"/>
    <s v="Engenharia e Tecnologia"/>
    <s v="Estudante"/>
    <s v="Estudante "/>
    <s v="Já joguei, mas de momento não jogo"/>
    <s v="Computador (portátil, desktop...);"/>
    <s v="Puzzles;Plataforma;Multiplayer;Estratégia;Aventura;"/>
    <m/>
    <m/>
    <m/>
    <m/>
    <m/>
    <m/>
    <m/>
    <m/>
    <n v="4"/>
    <n v="1"/>
    <m/>
    <n v="4.3025000000000002"/>
    <n v="2"/>
    <n v="0.2"/>
    <m/>
    <n v="2.1"/>
    <n v="0"/>
    <n v="1"/>
    <n v="3.941424"/>
    <n v="0"/>
    <n v="0"/>
    <m/>
    <m/>
    <m/>
    <m/>
    <m/>
    <m/>
    <n v="0"/>
    <n v="1"/>
    <n v="5.7919020000000003"/>
    <n v="6.7500000000000004E-2"/>
    <n v="0"/>
    <m/>
    <m/>
    <m/>
    <m/>
    <m/>
    <m/>
    <n v="0"/>
    <n v="1"/>
    <n v="5.2636019999999997"/>
    <n v="0"/>
    <n v="0"/>
    <m/>
    <m/>
    <m/>
    <m/>
    <m/>
    <m/>
    <n v="0"/>
    <n v="1"/>
    <n v="9.3823310000000006"/>
    <n v="0"/>
    <m/>
    <m/>
    <m/>
    <m/>
    <n v="0"/>
    <n v="1"/>
    <n v="11.752528"/>
    <n v="0"/>
    <n v="0"/>
    <m/>
    <m/>
    <n v="4"/>
    <n v="0.6"/>
    <n v="14.149495999999999"/>
    <n v="4.16"/>
    <n v="0"/>
    <n v="0.5"/>
    <n v="11.854514999999999"/>
    <n v="0.2525"/>
    <n v="0"/>
    <m/>
    <m/>
    <x v="3"/>
    <n v="2"/>
    <n v="0"/>
    <n v="0"/>
    <n v="0"/>
    <n v="0"/>
    <n v="0.125"/>
    <n v="0.24545454545454545"/>
    <n v="1"/>
    <n v="131"/>
    <n v="370"/>
    <n v="1"/>
    <n v="1"/>
    <n v="1"/>
    <n v="3"/>
    <n v="317"/>
    <n v="1400"/>
    <n v="3"/>
    <x v="0"/>
    <n v="0"/>
    <m/>
    <n v="4"/>
    <n v="4"/>
    <n v="3"/>
    <n v="4"/>
    <n v="4"/>
    <n v="2"/>
    <n v="1"/>
    <n v="5"/>
    <n v="2"/>
    <n v="3"/>
    <n v="2"/>
    <n v="3"/>
    <n v="4"/>
    <n v="4"/>
    <n v="5"/>
    <n v="3"/>
    <n v="2"/>
    <n v="3"/>
    <n v="2"/>
    <n v="3"/>
    <n v="2"/>
    <n v="4"/>
    <n v="3"/>
    <n v="2"/>
    <n v="2"/>
    <n v="2"/>
    <n v="3"/>
    <n v="3"/>
    <n v="3"/>
    <n v="4"/>
    <n v="4"/>
    <n v="4"/>
    <n v="4"/>
    <n v="5"/>
    <n v="3"/>
    <n v="2"/>
    <n v="3"/>
    <n v="3"/>
    <n v="2"/>
    <n v="3"/>
    <n v="2"/>
    <n v="4"/>
    <n v="4"/>
    <n v="4"/>
    <n v="4"/>
    <n v="3"/>
    <n v="3"/>
    <n v="4"/>
    <n v="1"/>
    <n v="4"/>
    <n v="2"/>
    <n v="3"/>
    <n v="2"/>
    <n v="3"/>
    <n v="4"/>
    <n v="2"/>
    <n v="4"/>
    <n v="4"/>
    <n v="4"/>
    <n v="3"/>
    <n v="2"/>
    <n v="1"/>
    <n v="3"/>
    <n v="4"/>
    <n v="2"/>
    <n v="2"/>
    <n v="1"/>
    <n v="3"/>
    <n v="4"/>
    <n v="2"/>
    <n v="3"/>
    <n v="2"/>
    <n v="4"/>
    <n v="2"/>
    <n v="1"/>
    <n v="2"/>
    <n v="3"/>
    <n v="4"/>
    <n v="3"/>
    <n v="2"/>
    <n v="2"/>
    <n v="3"/>
    <n v="4"/>
    <n v="2"/>
    <n v="3"/>
    <n v="3"/>
    <n v="2"/>
    <n v="3"/>
    <n v="3"/>
    <n v="2"/>
    <n v="3"/>
    <n v="2"/>
    <n v="2"/>
    <n v="3"/>
    <n v="1"/>
    <n v="4"/>
    <n v="3"/>
    <n v="4"/>
    <n v="1"/>
    <n v="2"/>
    <n v="1"/>
    <n v="4"/>
    <n v="3"/>
    <n v="2"/>
    <n v="2"/>
    <n v="1"/>
    <n v="3"/>
    <n v="4"/>
    <n v="3"/>
    <n v="2"/>
    <n v="2"/>
    <n v="3"/>
    <n v="2"/>
    <n v="2"/>
    <n v="2"/>
    <n v="3"/>
    <n v="3"/>
    <n v="4"/>
    <n v="2"/>
    <n v="3"/>
    <n v="3"/>
    <n v="3.25"/>
    <n v="3.5"/>
    <n v="4.5"/>
    <x v="8"/>
    <n v="3"/>
    <x v="6"/>
    <n v="3"/>
    <x v="5"/>
    <n v="2"/>
    <n v="3"/>
    <n v="3"/>
    <n v="2.25"/>
    <x v="7"/>
    <n v="2.75"/>
    <n v="3.5"/>
    <n v="2.75"/>
    <x v="6"/>
    <x v="8"/>
    <n v="3.25"/>
    <n v="4"/>
    <n v="4"/>
    <x v="7"/>
    <n v="3.75"/>
    <n v="3.5"/>
    <n v="4.5"/>
    <n v="4"/>
    <n v="4.25"/>
    <n v="4.25"/>
    <x v="2"/>
    <n v="3.5"/>
  </r>
  <r>
    <n v="17"/>
    <d v="2023-06-20T16:43:57"/>
    <d v="2023-06-20T16:46:41"/>
    <s v="Consinto em participar no questionário e que os dados recolhidos sejam utilizados para os fins acima referidos."/>
    <s v="18"/>
    <s v="Feminino"/>
    <s v="Solteiro(a)"/>
    <s v="Não"/>
    <s v="Ensino secundário"/>
    <s v="Ciências exatas"/>
    <s v="Estudante"/>
    <s v="Estudante "/>
    <s v="Já joguei, mas de momento não jogo"/>
    <s v="Dispositivos móveis (telemóvel, tablet);"/>
    <s v="Batalha/luta;Estratégia;Puzzles;Acção;"/>
    <n v="0"/>
    <n v="0.66666666666666663"/>
    <n v="44"/>
    <n v="0"/>
    <m/>
    <m/>
    <m/>
    <m/>
    <n v="0"/>
    <n v="1"/>
    <n v="26"/>
    <n v="0.97"/>
    <m/>
    <m/>
    <m/>
    <m/>
    <n v="0"/>
    <n v="1"/>
    <n v="28"/>
    <n v="0"/>
    <n v="0"/>
    <m/>
    <m/>
    <n v="3"/>
    <n v="0.375"/>
    <n v="44"/>
    <n v="2.2000000000000002"/>
    <n v="0"/>
    <n v="1"/>
    <n v="31"/>
    <n v="0.31"/>
    <n v="1"/>
    <n v="1"/>
    <n v="0"/>
    <m/>
    <m/>
    <m/>
    <m/>
    <n v="0"/>
    <n v="1"/>
    <n v="17"/>
    <n v="0"/>
    <n v="0"/>
    <m/>
    <m/>
    <n v="3"/>
    <n v="0"/>
    <m/>
    <n v="3.02"/>
    <n v="0"/>
    <n v="1"/>
    <n v="17"/>
    <n v="0"/>
    <m/>
    <m/>
    <m/>
    <m/>
    <n v="0"/>
    <n v="1"/>
    <n v="26"/>
    <n v="0"/>
    <n v="0"/>
    <m/>
    <m/>
    <m/>
    <m/>
    <m/>
    <m/>
    <n v="0"/>
    <n v="1"/>
    <n v="11.764519999999999"/>
    <n v="2.75E-2"/>
    <n v="0"/>
    <m/>
    <m/>
    <x v="4"/>
    <n v="2"/>
    <n v="0.2"/>
    <n v="0.2"/>
    <n v="0"/>
    <n v="1"/>
    <n v="0.66666666666666663"/>
    <n v="0.78181818181818186"/>
    <n v="3"/>
    <n v="351"/>
    <n v="1160"/>
    <n v="2"/>
    <m/>
    <m/>
    <m/>
    <m/>
    <m/>
    <m/>
    <x v="1"/>
    <n v="0"/>
    <s v="Estimamos tempos ww"/>
    <n v="4"/>
    <n v="4"/>
    <n v="2"/>
    <n v="2"/>
    <n v="4"/>
    <n v="3"/>
    <n v="2"/>
    <n v="4"/>
    <n v="2"/>
    <n v="4"/>
    <n v="2"/>
    <n v="3"/>
    <n v="4"/>
    <n v="4"/>
    <n v="4"/>
    <n v="3"/>
    <n v="3"/>
    <n v="2"/>
    <n v="1"/>
    <n v="4"/>
    <n v="4"/>
    <n v="3"/>
    <n v="4"/>
    <n v="1"/>
    <n v="3"/>
    <n v="3"/>
    <n v="3"/>
    <n v="4"/>
    <n v="4"/>
    <n v="2"/>
    <n v="4"/>
    <n v="4"/>
    <n v="3"/>
    <n v="3"/>
    <n v="4"/>
    <n v="4"/>
    <n v="3"/>
    <n v="4"/>
    <n v="1"/>
    <n v="1"/>
    <n v="2"/>
    <n v="2"/>
    <n v="3"/>
    <n v="4"/>
    <n v="4"/>
    <n v="3"/>
    <n v="4"/>
    <n v="3"/>
    <n v="1"/>
    <n v="3"/>
    <n v="3"/>
    <n v="4"/>
    <n v="2"/>
    <n v="4"/>
    <n v="4"/>
    <n v="3"/>
    <n v="4"/>
    <n v="4"/>
    <n v="4"/>
    <n v="2"/>
    <n v="3"/>
    <n v="3"/>
    <n v="2"/>
    <n v="2"/>
    <n v="3"/>
    <n v="4"/>
    <n v="4"/>
    <n v="2"/>
    <n v="4"/>
    <n v="2"/>
    <n v="1"/>
    <n v="3"/>
    <n v="3"/>
    <n v="2"/>
    <n v="2"/>
    <n v="3"/>
    <n v="3"/>
    <n v="4"/>
    <n v="4"/>
    <n v="1"/>
    <n v="2"/>
    <n v="3"/>
    <n v="3"/>
    <n v="2"/>
    <n v="4"/>
    <n v="2"/>
    <n v="2"/>
    <n v="3"/>
    <n v="1"/>
    <n v="2"/>
    <n v="3"/>
    <n v="4"/>
    <n v="3"/>
    <n v="3"/>
    <n v="4"/>
    <n v="3"/>
    <n v="2"/>
    <n v="5"/>
    <n v="2"/>
    <n v="1"/>
    <n v="2"/>
    <n v="4"/>
    <n v="3"/>
    <n v="1"/>
    <n v="2"/>
    <n v="2"/>
    <n v="3"/>
    <n v="4"/>
    <n v="2"/>
    <n v="2"/>
    <n v="1"/>
    <n v="4"/>
    <n v="2"/>
    <n v="3"/>
    <n v="2"/>
    <n v="3"/>
    <n v="3"/>
    <n v="4"/>
    <n v="4"/>
    <n v="2"/>
    <n v="1"/>
    <n v="3.5"/>
    <n v="4.5"/>
    <n v="3.75"/>
    <x v="1"/>
    <n v="3.5"/>
    <x v="2"/>
    <n v="3.75"/>
    <x v="12"/>
    <n v="2.25"/>
    <n v="3"/>
    <n v="3"/>
    <n v="2.75"/>
    <x v="4"/>
    <n v="2"/>
    <n v="2.75"/>
    <n v="3.25"/>
    <x v="7"/>
    <x v="8"/>
    <n v="2.5"/>
    <n v="4"/>
    <n v="4"/>
    <x v="7"/>
    <n v="3.75"/>
    <n v="3.75"/>
    <n v="2.25"/>
    <n v="4.5"/>
    <n v="4"/>
    <n v="4.75"/>
    <x v="6"/>
    <n v="4"/>
  </r>
  <r>
    <n v="18"/>
    <d v="2023-06-20T16:50:00"/>
    <d v="2023-06-20T16:51:03"/>
    <s v="Consinto em participar no questionário e que os dados recolhidos sejam utilizados para os fins acima referidos."/>
    <s v="23"/>
    <s v="Masculino"/>
    <s v="Solteiro(a)"/>
    <s v="Não"/>
    <s v="Licenciatura (3-5 anos)"/>
    <s v="Engenharia e Tecnologia"/>
    <s v="Estudante"/>
    <s v="Esrudante"/>
    <s v="Já joguei, mas de momento não jogo"/>
    <s v="Computador (portátil, desktop...);Consolas fixas (XBox, Playstation...);"/>
    <s v="Acção;Aventura;Multiplayer;Simulação;Desporto;"/>
    <n v="1"/>
    <n v="0.66666666666666663"/>
    <n v="3.436172"/>
    <n v="1.3"/>
    <m/>
    <m/>
    <m/>
    <m/>
    <n v="1"/>
    <n v="0"/>
    <n v="8.3616679999999999"/>
    <n v="1.1000000000000001"/>
    <n v="0"/>
    <n v="1"/>
    <n v="10.147053"/>
    <n v="1"/>
    <m/>
    <m/>
    <m/>
    <m/>
    <n v="1"/>
    <n v="1"/>
    <n v="0.6"/>
    <n v="8"/>
    <n v="0.875"/>
    <n v="26.031123999999998"/>
    <n v="6.65"/>
    <m/>
    <m/>
    <m/>
    <m/>
    <n v="0"/>
    <m/>
    <m/>
    <m/>
    <m/>
    <m/>
    <m/>
    <n v="0"/>
    <n v="1"/>
    <n v="36.288256999999994"/>
    <n v="0"/>
    <n v="1"/>
    <n v="0"/>
    <n v="1"/>
    <n v="1"/>
    <n v="1"/>
    <n v="49.091653000000001"/>
    <n v="0.75"/>
    <m/>
    <m/>
    <m/>
    <m/>
    <n v="0"/>
    <n v="1"/>
    <n v="10.064778"/>
    <n v="0"/>
    <m/>
    <m/>
    <m/>
    <m/>
    <n v="0"/>
    <m/>
    <m/>
    <n v="4"/>
    <n v="0.8"/>
    <n v="19.049413000000001"/>
    <n v="4.3000000000000007"/>
    <m/>
    <m/>
    <m/>
    <m/>
    <n v="0"/>
    <m/>
    <m/>
    <x v="6"/>
    <n v="0"/>
    <n v="0.4"/>
    <n v="0.4"/>
    <n v="0"/>
    <n v="1"/>
    <n v="1"/>
    <n v="1"/>
    <n v="2"/>
    <n v="354"/>
    <n v="1300"/>
    <n v="2"/>
    <m/>
    <m/>
    <m/>
    <m/>
    <m/>
    <m/>
    <x v="1"/>
    <n v="0"/>
    <m/>
    <n v="5"/>
    <n v="4"/>
    <n v="4"/>
    <n v="4"/>
    <n v="4"/>
    <n v="2"/>
    <n v="4"/>
    <n v="4"/>
    <n v="1"/>
    <n v="4"/>
    <n v="1"/>
    <n v="3"/>
    <n v="3"/>
    <n v="5"/>
    <n v="4"/>
    <n v="3"/>
    <n v="3"/>
    <n v="2"/>
    <n v="2"/>
    <n v="4"/>
    <n v="3"/>
    <n v="5"/>
    <n v="5"/>
    <n v="3"/>
    <n v="3"/>
    <n v="1"/>
    <n v="3"/>
    <n v="4"/>
    <n v="4"/>
    <n v="1"/>
    <n v="3"/>
    <n v="5"/>
    <n v="4"/>
    <n v="3"/>
    <n v="3"/>
    <n v="1"/>
    <n v="5"/>
    <n v="5"/>
    <n v="1"/>
    <n v="3"/>
    <n v="2"/>
    <n v="4"/>
    <n v="4"/>
    <n v="5"/>
    <n v="5"/>
    <n v="4"/>
    <n v="4"/>
    <n v="1"/>
    <n v="1"/>
    <n v="4"/>
    <n v="2"/>
    <n v="5"/>
    <n v="1"/>
    <n v="4"/>
    <n v="5"/>
    <n v="1"/>
    <n v="5"/>
    <n v="5"/>
    <n v="4"/>
    <n v="2"/>
    <n v="2"/>
    <n v="1"/>
    <n v="5"/>
    <n v="4"/>
    <n v="4"/>
    <n v="1"/>
    <n v="1"/>
    <n v="1"/>
    <n v="4"/>
    <n v="1"/>
    <n v="3"/>
    <n v="2"/>
    <n v="4"/>
    <n v="3"/>
    <n v="1"/>
    <n v="3"/>
    <n v="3"/>
    <n v="4"/>
    <n v="1"/>
    <n v="2"/>
    <n v="2"/>
    <n v="3"/>
    <n v="4"/>
    <n v="3"/>
    <n v="4"/>
    <n v="3"/>
    <n v="2"/>
    <n v="5"/>
    <n v="1"/>
    <n v="2"/>
    <n v="2"/>
    <n v="1"/>
    <n v="1"/>
    <n v="3"/>
    <n v="2"/>
    <n v="4"/>
    <n v="4"/>
    <n v="2"/>
    <n v="1"/>
    <n v="1"/>
    <n v="3"/>
    <n v="4"/>
    <n v="3"/>
    <n v="1"/>
    <n v="1"/>
    <n v="1"/>
    <n v="4"/>
    <n v="4"/>
    <n v="1"/>
    <n v="1"/>
    <n v="1"/>
    <n v="4"/>
    <n v="1"/>
    <n v="1"/>
    <n v="4"/>
    <n v="3"/>
    <n v="3"/>
    <n v="4"/>
    <n v="3"/>
    <n v="2"/>
    <n v="2"/>
    <n v="3.75"/>
    <n v="3.25"/>
    <n v="4.25"/>
    <x v="5"/>
    <n v="3.5"/>
    <x v="10"/>
    <n v="2.75"/>
    <x v="13"/>
    <n v="1.75"/>
    <n v="3"/>
    <n v="3"/>
    <n v="1.75"/>
    <x v="8"/>
    <n v="4.5"/>
    <n v="3.5"/>
    <n v="3.25"/>
    <x v="5"/>
    <x v="1"/>
    <n v="4"/>
    <n v="4.75"/>
    <n v="3.75"/>
    <x v="12"/>
    <n v="4.5"/>
    <n v="4.25"/>
    <n v="3.75"/>
    <n v="5"/>
    <n v="5"/>
    <n v="4.5"/>
    <x v="8"/>
    <n v="4"/>
  </r>
  <r>
    <n v="19"/>
    <d v="2023-06-20T16:50:09"/>
    <d v="2023-06-20T16:51:52"/>
    <s v="Consinto em participar no questionário e que os dados recolhidos sejam utilizados para os fins acima referidos."/>
    <s v="22"/>
    <s v="Masculino"/>
    <s v="Solteiro(a)"/>
    <s v="Não"/>
    <s v="Mestrado"/>
    <s v="Engenharia e Tecnologia"/>
    <s v="Estudante"/>
    <s v="Investigador "/>
    <s v="Já joguei, mas de momento não jogo"/>
    <s v="Consolas fixas (XBox, Playstation...);Computador (portátil, desktop...);"/>
    <s v="Acção;Estratégia;Multiplayer;Simulação;"/>
    <n v="0"/>
    <n v="1"/>
    <n v="7.5241069999999999"/>
    <n v="0"/>
    <m/>
    <m/>
    <m/>
    <m/>
    <n v="1"/>
    <n v="1"/>
    <n v="28.279114"/>
    <n v="1.814999999999984"/>
    <m/>
    <m/>
    <m/>
    <m/>
    <n v="0"/>
    <n v="1"/>
    <n v="14.882924000000001"/>
    <n v="0"/>
    <n v="1"/>
    <n v="0"/>
    <n v="1"/>
    <n v="3"/>
    <n v="0.875"/>
    <n v="24.514082999999999"/>
    <n v="2.9000000000000004"/>
    <m/>
    <m/>
    <m/>
    <m/>
    <n v="0"/>
    <m/>
    <m/>
    <m/>
    <m/>
    <m/>
    <m/>
    <n v="0"/>
    <n v="1"/>
    <n v="5.256373"/>
    <n v="0"/>
    <n v="0"/>
    <m/>
    <m/>
    <n v="1"/>
    <n v="1"/>
    <n v="27.865993999999997"/>
    <n v="1.2"/>
    <m/>
    <m/>
    <m/>
    <m/>
    <m/>
    <m/>
    <m/>
    <m/>
    <n v="0"/>
    <n v="1"/>
    <n v="7.5615449999999997"/>
    <n v="0"/>
    <n v="0"/>
    <m/>
    <m/>
    <n v="1"/>
    <n v="0"/>
    <m/>
    <n v="1.05"/>
    <n v="0"/>
    <n v="1"/>
    <n v="12.546477000000001"/>
    <n v="2.2499999999999999E-2"/>
    <n v="0"/>
    <m/>
    <m/>
    <x v="5"/>
    <n v="0"/>
    <n v="0.2"/>
    <n v="0.2"/>
    <n v="0"/>
    <n v="1"/>
    <n v="1"/>
    <n v="1"/>
    <n v="3"/>
    <n v="334"/>
    <n v="1400"/>
    <n v="3"/>
    <m/>
    <m/>
    <m/>
    <m/>
    <m/>
    <m/>
    <x v="1"/>
    <n v="0"/>
    <m/>
    <n v="4"/>
    <n v="3"/>
    <n v="4"/>
    <n v="4"/>
    <n v="4"/>
    <n v="1"/>
    <n v="3"/>
    <n v="5"/>
    <n v="3"/>
    <n v="4"/>
    <n v="2"/>
    <n v="4"/>
    <n v="2"/>
    <n v="4"/>
    <n v="4"/>
    <n v="2"/>
    <n v="4"/>
    <n v="3"/>
    <n v="4"/>
    <n v="4"/>
    <n v="3"/>
    <n v="4"/>
    <n v="4"/>
    <n v="3"/>
    <n v="4"/>
    <n v="1"/>
    <n v="4"/>
    <n v="3"/>
    <n v="3"/>
    <n v="1"/>
    <n v="1"/>
    <n v="4"/>
    <n v="1"/>
    <n v="3"/>
    <n v="5"/>
    <n v="1"/>
    <n v="2"/>
    <n v="3"/>
    <n v="1"/>
    <n v="1"/>
    <n v="1"/>
    <n v="3"/>
    <n v="4"/>
    <n v="4"/>
    <n v="5"/>
    <n v="3"/>
    <n v="5"/>
    <n v="2"/>
    <n v="1"/>
    <n v="4"/>
    <n v="3"/>
    <n v="4"/>
    <n v="1"/>
    <n v="5"/>
    <n v="4"/>
    <n v="1"/>
    <n v="5"/>
    <n v="5"/>
    <n v="4"/>
    <n v="1"/>
    <n v="1"/>
    <n v="1"/>
    <n v="3"/>
    <n v="3"/>
    <n v="4"/>
    <n v="1"/>
    <n v="2"/>
    <n v="2"/>
    <s v="4 com a pergunta"/>
    <n v="1"/>
    <n v="2"/>
    <n v="1"/>
    <n v="4"/>
    <n v="2"/>
    <n v="2"/>
    <n v="3"/>
    <n v="3"/>
    <n v="4"/>
    <n v="2"/>
    <n v="1"/>
    <n v="1"/>
    <n v="4"/>
    <n v="3"/>
    <n v="1"/>
    <n v="4"/>
    <n v="3"/>
    <n v="2"/>
    <n v="5"/>
    <n v="3"/>
    <n v="2"/>
    <n v="1"/>
    <n v="1"/>
    <n v="2"/>
    <n v="3"/>
    <n v="2"/>
    <n v="4"/>
    <n v="5"/>
    <n v="2"/>
    <n v="3"/>
    <n v="2"/>
    <n v="1"/>
    <n v="5"/>
    <n v="1"/>
    <n v="2"/>
    <n v="2"/>
    <n v="1"/>
    <n v="4"/>
    <n v="4"/>
    <n v="3"/>
    <n v="1"/>
    <n v="1"/>
    <n v="4"/>
    <n v="3"/>
    <n v="1"/>
    <n v="2"/>
    <n v="2"/>
    <n v="5"/>
    <n v="5"/>
    <n v="2"/>
    <n v="2"/>
    <n v="1"/>
    <n v="4.25"/>
    <n v="4.5"/>
    <n v="4.25"/>
    <x v="2"/>
    <n v="3.75"/>
    <x v="9"/>
    <n v="1.75"/>
    <x v="6"/>
    <n v="1.25"/>
    <n v="2.5"/>
    <n v="2.5"/>
    <n v="1.25"/>
    <x v="1"/>
    <n v="3.25"/>
    <n v="4"/>
    <n v="3.75"/>
    <x v="8"/>
    <x v="6"/>
    <n v="2.75"/>
    <n v="3.75"/>
    <n v="3.5"/>
    <x v="11"/>
    <n v="4.75"/>
    <n v="3.75"/>
    <n v="3.5"/>
    <n v="4.25"/>
    <n v="4"/>
    <n v="4.25"/>
    <x v="9"/>
    <n v="3.75"/>
  </r>
  <r>
    <n v="20"/>
    <d v="2023-06-20T17:05:12"/>
    <d v="2023-06-20T17:07:10"/>
    <s v="Consinto em participar no questionário e que os dados recolhidos sejam utilizados para os fins acima referidos."/>
    <s v="25"/>
    <s v="Masculino"/>
    <s v="Solteiro(a)"/>
    <s v="Não"/>
    <s v="Licenciatura (3-5 anos)"/>
    <s v="Ciências médicas e da saúde"/>
    <s v="Trabalhador-estudante"/>
    <s v="Estudante de medicina. Investigador no GECAD"/>
    <s v="Algumas vezes por semana"/>
    <s v="Consolas fixas (XBox, Playstation...);Dispositivos móveis (telemóvel, tablet);"/>
    <s v="Estratégia;Multiplayer;RPG/MMORPG;Simulação;Desporto;"/>
    <m/>
    <m/>
    <m/>
    <m/>
    <n v="1"/>
    <n v="0"/>
    <n v="5.9642430000000006"/>
    <n v="0"/>
    <n v="4"/>
    <n v="1"/>
    <n v="22.914467000000002"/>
    <n v="4.8649999999999638"/>
    <m/>
    <m/>
    <m/>
    <m/>
    <n v="0"/>
    <n v="1"/>
    <n v="13.765906999999999"/>
    <n v="0"/>
    <n v="0"/>
    <m/>
    <m/>
    <n v="1"/>
    <n v="0.375"/>
    <m/>
    <n v="0.7"/>
    <n v="0"/>
    <n v="1"/>
    <n v="10.775477"/>
    <n v="5.5E-2"/>
    <n v="0"/>
    <m/>
    <m/>
    <n v="0"/>
    <n v="1"/>
    <n v="9.2005730000000003"/>
    <n v="0.44750000000000001"/>
    <n v="0"/>
    <n v="1"/>
    <n v="5.9276289999999996"/>
    <n v="0"/>
    <n v="1"/>
    <n v="1"/>
    <n v="0"/>
    <n v="1"/>
    <n v="0"/>
    <n v="17.540658999999998"/>
    <n v="0.3"/>
    <m/>
    <m/>
    <m/>
    <m/>
    <m/>
    <m/>
    <m/>
    <m/>
    <n v="0"/>
    <n v="1"/>
    <n v="8.2549060000000001"/>
    <n v="0"/>
    <n v="0"/>
    <m/>
    <m/>
    <m/>
    <m/>
    <m/>
    <m/>
    <n v="0"/>
    <n v="1"/>
    <n v="19.615196999999998"/>
    <n v="0.16250000000000001"/>
    <n v="0"/>
    <m/>
    <m/>
    <x v="4"/>
    <n v="0"/>
    <n v="0.2"/>
    <n v="0.2"/>
    <n v="0"/>
    <n v="1"/>
    <n v="1"/>
    <n v="1"/>
    <n v="2"/>
    <n v="350"/>
    <n v="1300"/>
    <n v="2"/>
    <m/>
    <m/>
    <m/>
    <m/>
    <m/>
    <m/>
    <x v="1"/>
    <n v="0"/>
    <m/>
    <n v="4"/>
    <n v="4"/>
    <n v="4"/>
    <n v="3"/>
    <n v="4"/>
    <n v="3"/>
    <n v="3"/>
    <n v="5"/>
    <n v="2"/>
    <n v="5"/>
    <n v="2"/>
    <n v="3"/>
    <n v="2"/>
    <n v="4"/>
    <n v="4"/>
    <n v="4"/>
    <n v="4"/>
    <n v="5"/>
    <n v="1"/>
    <n v="4"/>
    <n v="5"/>
    <n v="4"/>
    <n v="3"/>
    <n v="1"/>
    <n v="2"/>
    <n v="1"/>
    <n v="3"/>
    <n v="4"/>
    <n v="3"/>
    <n v="1"/>
    <n v="4"/>
    <n v="4"/>
    <n v="2"/>
    <n v="3"/>
    <n v="3"/>
    <n v="2"/>
    <n v="2"/>
    <n v="3"/>
    <n v="2"/>
    <n v="5"/>
    <n v="1"/>
    <n v="3"/>
    <n v="4"/>
    <n v="4"/>
    <n v="4"/>
    <n v="3"/>
    <n v="3"/>
    <n v="2"/>
    <n v="1"/>
    <n v="3"/>
    <n v="2"/>
    <n v="4"/>
    <n v="1"/>
    <n v="3"/>
    <n v="4"/>
    <n v="2"/>
    <n v="5"/>
    <n v="4"/>
    <n v="4"/>
    <n v="1"/>
    <n v="1"/>
    <n v="1"/>
    <n v="3"/>
    <n v="3"/>
    <n v="4"/>
    <n v="4"/>
    <n v="2"/>
    <n v="2"/>
    <n v="4"/>
    <n v="2"/>
    <n v="3"/>
    <n v="2"/>
    <n v="3"/>
    <n v="2"/>
    <n v="2"/>
    <n v="2"/>
    <n v="3"/>
    <n v="3"/>
    <n v="2"/>
    <n v="1"/>
    <n v="2"/>
    <n v="2"/>
    <n v="3"/>
    <n v="2"/>
    <n v="2"/>
    <n v="4"/>
    <n v="3"/>
    <n v="5"/>
    <n v="1"/>
    <n v="2"/>
    <n v="2"/>
    <n v="2"/>
    <n v="2"/>
    <n v="2"/>
    <n v="3"/>
    <n v="4"/>
    <n v="4"/>
    <n v="2"/>
    <n v="1"/>
    <n v="2"/>
    <n v="4"/>
    <n v="4"/>
    <n v="3"/>
    <n v="2"/>
    <n v="2"/>
    <n v="2"/>
    <n v="2"/>
    <n v="4"/>
    <n v="2"/>
    <n v="1"/>
    <n v="2"/>
    <n v="3"/>
    <n v="1"/>
    <n v="1"/>
    <n v="1"/>
    <n v="3"/>
    <n v="2"/>
    <n v="3"/>
    <n v="5"/>
    <n v="2"/>
    <n v="1"/>
    <n v="3.75"/>
    <n v="2.75"/>
    <n v="4"/>
    <x v="8"/>
    <n v="2.75"/>
    <x v="7"/>
    <n v="2.75"/>
    <x v="2"/>
    <n v="1.75"/>
    <n v="3.5"/>
    <n v="4"/>
    <n v="2.5"/>
    <x v="7"/>
    <n v="3.25"/>
    <n v="3"/>
    <n v="3"/>
    <x v="7"/>
    <x v="2"/>
    <n v="2.75"/>
    <n v="4.25"/>
    <n v="3.5"/>
    <x v="12"/>
    <n v="4.25"/>
    <n v="3.5"/>
    <n v="3"/>
    <n v="4"/>
    <n v="4"/>
    <n v="5"/>
    <x v="10"/>
    <n v="3.75"/>
  </r>
  <r>
    <n v="22"/>
    <d v="2023-06-20T18:44:44"/>
    <d v="2023-06-20T18:45:55"/>
    <s v="Consinto em participar no questionário e que os dados recolhidos sejam utilizados para os fins acima referidos."/>
    <s v="29"/>
    <s v="Masculino"/>
    <s v="Solteiro(a)"/>
    <s v="Não"/>
    <s v="Licenciatura (3-5 anos)"/>
    <s v="Engenharia e Tecnologia"/>
    <s v="Trabalhador-estudante"/>
    <s v="Engenheiro Mecânico"/>
    <s v="Algumas vezes por dia"/>
    <s v="Consolas fixas (XBox, Playstation...);Computador (portátil, desktop...);Dispositivos móveis (telemóvel, tablet);"/>
    <s v="Aventura;Acção;Batalha/luta;Estratégia;Plataforma;Puzzles;RPG/MMORPG;Simulação;"/>
    <m/>
    <m/>
    <m/>
    <m/>
    <m/>
    <m/>
    <m/>
    <m/>
    <m/>
    <m/>
    <m/>
    <m/>
    <m/>
    <m/>
    <m/>
    <m/>
    <n v="0"/>
    <n v="1"/>
    <n v="3.95479"/>
    <n v="0"/>
    <n v="0"/>
    <m/>
    <m/>
    <m/>
    <m/>
    <m/>
    <m/>
    <n v="0"/>
    <n v="1"/>
    <n v="7.4174819999999997"/>
    <n v="0"/>
    <n v="0"/>
    <m/>
    <m/>
    <n v="0"/>
    <n v="1"/>
    <n v="11.083895"/>
    <n v="1.699999999999986"/>
    <m/>
    <m/>
    <m/>
    <m/>
    <n v="1"/>
    <n v="0"/>
    <n v="1"/>
    <m/>
    <m/>
    <m/>
    <m/>
    <n v="0"/>
    <n v="1"/>
    <n v="16.955735000000001"/>
    <n v="0.125"/>
    <m/>
    <m/>
    <m/>
    <m/>
    <n v="0"/>
    <n v="1"/>
    <n v="7.7522879999999992"/>
    <n v="0"/>
    <n v="0"/>
    <m/>
    <m/>
    <n v="0"/>
    <n v="0.6"/>
    <n v="17.987034000000001"/>
    <n v="0"/>
    <m/>
    <m/>
    <m/>
    <m/>
    <n v="0"/>
    <m/>
    <m/>
    <x v="1"/>
    <n v="0"/>
    <n v="0.2"/>
    <n v="0.2"/>
    <n v="0"/>
    <n v="0"/>
    <n v="1"/>
    <n v="1"/>
    <n v="3"/>
    <n v="350"/>
    <n v="1400"/>
    <n v="3"/>
    <m/>
    <m/>
    <m/>
    <m/>
    <m/>
    <m/>
    <x v="1"/>
    <n v="0"/>
    <m/>
    <n v="5"/>
    <n v="3"/>
    <n v="4"/>
    <n v="2"/>
    <n v="4"/>
    <n v="1"/>
    <n v="5"/>
    <n v="4"/>
    <n v="2"/>
    <n v="5"/>
    <n v="1"/>
    <n v="4"/>
    <n v="3"/>
    <n v="3"/>
    <n v="4"/>
    <n v="2"/>
    <n v="5"/>
    <n v="4"/>
    <n v="1"/>
    <n v="5"/>
    <n v="4"/>
    <n v="5"/>
    <n v="3"/>
    <n v="1"/>
    <n v="2"/>
    <n v="1"/>
    <n v="3"/>
    <n v="3"/>
    <n v="2"/>
    <n v="3"/>
    <n v="5"/>
    <n v="5"/>
    <n v="4"/>
    <n v="2"/>
    <n v="2"/>
    <n v="2"/>
    <n v="5"/>
    <n v="4"/>
    <n v="1"/>
    <n v="5"/>
    <n v="1"/>
    <n v="3"/>
    <n v="3"/>
    <n v="4"/>
    <n v="5"/>
    <n v="3"/>
    <n v="5"/>
    <n v="1"/>
    <n v="1"/>
    <n v="3"/>
    <n v="5"/>
    <n v="4"/>
    <n v="3"/>
    <n v="1"/>
    <n v="2"/>
    <n v="3"/>
    <n v="5"/>
    <n v="1"/>
    <n v="1"/>
    <n v="4"/>
    <n v="5"/>
    <n v="3"/>
    <n v="3"/>
    <n v="1"/>
    <n v="4"/>
    <n v="4"/>
    <n v="2"/>
    <n v="2"/>
    <n v="4"/>
    <n v="1"/>
    <n v="2"/>
    <n v="1"/>
    <n v="3"/>
    <n v="1"/>
    <n v="3"/>
    <n v="2"/>
    <n v="2"/>
    <n v="5"/>
    <n v="1"/>
    <n v="1"/>
    <n v="5"/>
    <n v="4"/>
    <n v="3"/>
    <n v="2"/>
    <n v="1"/>
    <n v="4"/>
    <n v="1"/>
    <n v="4"/>
    <n v="3"/>
    <n v="5"/>
    <n v="1"/>
    <n v="5"/>
    <n v="2"/>
    <n v="4"/>
    <n v="4"/>
    <n v="4"/>
    <n v="5"/>
    <n v="2"/>
    <n v="1"/>
    <n v="2"/>
    <n v="1"/>
    <n v="5"/>
    <n v="4"/>
    <n v="5"/>
    <n v="2"/>
    <n v="1"/>
    <n v="5"/>
    <n v="5"/>
    <n v="2"/>
    <n v="1"/>
    <n v="1"/>
    <n v="5"/>
    <n v="2"/>
    <n v="1"/>
    <n v="1"/>
    <n v="1"/>
    <n v="4"/>
    <n v="4"/>
    <n v="3"/>
    <n v="3"/>
    <n v="1"/>
    <n v="3.5"/>
    <n v="3.75"/>
    <n v="4.5"/>
    <x v="7"/>
    <n v="2.75"/>
    <x v="8"/>
    <n v="5"/>
    <x v="0"/>
    <n v="1"/>
    <n v="2"/>
    <n v="2"/>
    <n v="1.75"/>
    <x v="6"/>
    <n v="4.5"/>
    <n v="3"/>
    <n v="4"/>
    <x v="8"/>
    <x v="2"/>
    <n v="3.75"/>
    <n v="4.25"/>
    <n v="3"/>
    <x v="13"/>
    <n v="3.75"/>
    <n v="2.5"/>
    <n v="1.75"/>
    <n v="4.5"/>
    <n v="3.5"/>
    <n v="5"/>
    <x v="11"/>
    <n v="1.75"/>
  </r>
  <r>
    <n v="23"/>
    <d v="2023-06-21T10:31:43"/>
    <d v="2023-06-21T10:33:46"/>
    <s v="Consinto em participar no questionário e que os dados recolhidos sejam utilizados para os fins acima referidos."/>
    <s v="46"/>
    <s v="Masculino"/>
    <s v="Num relacionamento (casamento, união de facto, etc.)"/>
    <s v="Sim"/>
    <s v="Ensino secundário"/>
    <s v="Engenharia e Tecnologia"/>
    <s v="Desempregado(a)"/>
    <s v="Programador Software"/>
    <s v="Nunca"/>
    <s v="Não costumo jogar;"/>
    <s v="Nenhum;"/>
    <m/>
    <m/>
    <m/>
    <m/>
    <m/>
    <m/>
    <m/>
    <m/>
    <m/>
    <m/>
    <m/>
    <m/>
    <m/>
    <m/>
    <m/>
    <m/>
    <n v="0"/>
    <n v="1"/>
    <n v="4.3910990000000005"/>
    <n v="0"/>
    <n v="1"/>
    <n v="1"/>
    <n v="1"/>
    <n v="4"/>
    <n v="0.25"/>
    <m/>
    <n v="4.4000000000000004"/>
    <n v="0"/>
    <n v="1"/>
    <n v="14.358485"/>
    <n v="0"/>
    <n v="0"/>
    <m/>
    <m/>
    <m/>
    <m/>
    <m/>
    <m/>
    <n v="0"/>
    <n v="1"/>
    <n v="6.8556379999999999"/>
    <n v="0"/>
    <n v="0"/>
    <m/>
    <m/>
    <m/>
    <m/>
    <m/>
    <m/>
    <n v="0"/>
    <n v="1"/>
    <n v="9.420598"/>
    <n v="0"/>
    <m/>
    <m/>
    <m/>
    <m/>
    <n v="0"/>
    <n v="0.5"/>
    <n v="16.34047"/>
    <n v="0"/>
    <n v="0"/>
    <m/>
    <m/>
    <m/>
    <m/>
    <m/>
    <m/>
    <n v="0"/>
    <n v="0.5"/>
    <n v="12.921662"/>
    <n v="3.2500000000000001E-2"/>
    <n v="0"/>
    <m/>
    <m/>
    <x v="2"/>
    <n v="1"/>
    <n v="0.2"/>
    <n v="0.2"/>
    <n v="0"/>
    <n v="0"/>
    <n v="0.10416666666666667"/>
    <n v="0.29090909090909089"/>
    <n v="0"/>
    <n v="167"/>
    <n v="320"/>
    <n v="0"/>
    <m/>
    <m/>
    <m/>
    <m/>
    <m/>
    <m/>
    <x v="1"/>
    <n v="0"/>
    <m/>
    <n v="5"/>
    <n v="4"/>
    <n v="4"/>
    <n v="3"/>
    <n v="4"/>
    <n v="4"/>
    <n v="3"/>
    <n v="4"/>
    <n v="2"/>
    <n v="5"/>
    <n v="5"/>
    <n v="4"/>
    <n v="5"/>
    <n v="5"/>
    <n v="4"/>
    <n v="2"/>
    <n v="3"/>
    <n v="2"/>
    <n v="2"/>
    <n v="4"/>
    <n v="4"/>
    <n v="4"/>
    <n v="4"/>
    <n v="2"/>
    <n v="2"/>
    <n v="4"/>
    <n v="3"/>
    <n v="3"/>
    <n v="4"/>
    <n v="4"/>
    <n v="4"/>
    <n v="4"/>
    <n v="5"/>
    <n v="3"/>
    <n v="2"/>
    <n v="5"/>
    <n v="4"/>
    <n v="3"/>
    <n v="2"/>
    <n v="2"/>
    <n v="4"/>
    <n v="2"/>
    <n v="4"/>
    <n v="4"/>
    <n v="4"/>
    <n v="3"/>
    <n v="4"/>
    <n v="4"/>
    <n v="4"/>
    <n v="2"/>
    <n v="2"/>
    <n v="3"/>
    <n v="4"/>
    <n v="2"/>
    <n v="3"/>
    <n v="2"/>
    <n v="3"/>
    <n v="4"/>
    <n v="4"/>
    <n v="4"/>
    <n v="4"/>
    <n v="2"/>
    <n v="4"/>
    <n v="3"/>
    <n v="4"/>
    <n v="4"/>
    <n v="4"/>
    <n v="3"/>
    <n v="2"/>
    <n v="2"/>
    <n v="2"/>
    <n v="5"/>
    <n v="3"/>
    <n v="2"/>
    <n v="2"/>
    <n v="2"/>
    <n v="3"/>
    <n v="3"/>
    <n v="4"/>
    <n v="2"/>
    <n v="4"/>
    <n v="4"/>
    <n v="2"/>
    <n v="2"/>
    <n v="2"/>
    <n v="4"/>
    <n v="4"/>
    <n v="3"/>
    <n v="3"/>
    <n v="2"/>
    <n v="3"/>
    <n v="4"/>
    <n v="2"/>
    <n v="5"/>
    <n v="3"/>
    <n v="2"/>
    <n v="2"/>
    <n v="4"/>
    <n v="2"/>
    <n v="2"/>
    <n v="2"/>
    <n v="2"/>
    <n v="4"/>
    <n v="2"/>
    <n v="2"/>
    <n v="3"/>
    <n v="2"/>
    <n v="4"/>
    <n v="3"/>
    <n v="2"/>
    <n v="4"/>
    <n v="4"/>
    <n v="2"/>
    <n v="3"/>
    <n v="2"/>
    <n v="3"/>
    <n v="2"/>
    <n v="2"/>
    <n v="3"/>
    <n v="2"/>
    <n v="4"/>
    <n v="3"/>
    <n v="4.25"/>
    <n v="3.75"/>
    <x v="0"/>
    <n v="2.5"/>
    <x v="11"/>
    <n v="4.25"/>
    <x v="7"/>
    <n v="4.5"/>
    <n v="3"/>
    <n v="3"/>
    <n v="3.5"/>
    <x v="1"/>
    <n v="2.75"/>
    <n v="2.75"/>
    <n v="3"/>
    <x v="2"/>
    <x v="0"/>
    <n v="4.5"/>
    <n v="3.5"/>
    <n v="4.25"/>
    <x v="3"/>
    <n v="3.25"/>
    <n v="3.25"/>
    <n v="3"/>
    <n v="4"/>
    <n v="4.25"/>
    <n v="3.5"/>
    <x v="3"/>
    <n v="4"/>
  </r>
  <r>
    <n v="24"/>
    <d v="2023-06-21T10:32:12"/>
    <d v="2023-06-21T10:34:04"/>
    <s v="Consinto em participar no questionário e que os dados recolhidos sejam utilizados para os fins acima referidos."/>
    <s v="40"/>
    <s v="Feminino"/>
    <s v="Num relacionamento (casamento, união de facto, etc.)"/>
    <s v="Não"/>
    <s v="Mestrado"/>
    <s v="Engenharia e Tecnologia"/>
    <s v="Trabalhador-estudante"/>
    <s v="Investigadora"/>
    <s v="Já joguei, mas de momento não jogo"/>
    <s v="Consolas fixas (XBox, Playstation...);"/>
    <s v="RPG/MMORPG;Puzzles;"/>
    <m/>
    <m/>
    <m/>
    <m/>
    <m/>
    <m/>
    <m/>
    <m/>
    <m/>
    <m/>
    <m/>
    <m/>
    <m/>
    <m/>
    <m/>
    <m/>
    <n v="0"/>
    <n v="1"/>
    <n v="10"/>
    <n v="0"/>
    <n v="0"/>
    <m/>
    <m/>
    <m/>
    <m/>
    <m/>
    <m/>
    <n v="0"/>
    <n v="1"/>
    <n v="25.4"/>
    <n v="0"/>
    <m/>
    <m/>
    <m/>
    <m/>
    <m/>
    <m/>
    <m/>
    <n v="0"/>
    <n v="1"/>
    <n v="12"/>
    <n v="0"/>
    <m/>
    <m/>
    <m/>
    <m/>
    <m/>
    <m/>
    <m/>
    <n v="0"/>
    <n v="1"/>
    <n v="17.91"/>
    <n v="0.06"/>
    <m/>
    <m/>
    <m/>
    <m/>
    <n v="0"/>
    <n v="1"/>
    <n v="17"/>
    <n v="0"/>
    <n v="0"/>
    <m/>
    <m/>
    <m/>
    <m/>
    <m/>
    <m/>
    <n v="0"/>
    <n v="1"/>
    <n v="16.219000000000001"/>
    <n v="0.13750000000000001"/>
    <n v="0"/>
    <m/>
    <m/>
    <x v="0"/>
    <n v="0"/>
    <n v="0"/>
    <n v="0"/>
    <n v="0"/>
    <n v="0"/>
    <n v="0.14583333333333334"/>
    <n v="0.34545454545454546"/>
    <n v="0"/>
    <n v="216"/>
    <n v="380"/>
    <n v="0"/>
    <m/>
    <m/>
    <m/>
    <m/>
    <m/>
    <m/>
    <x v="1"/>
    <n v="0"/>
    <s v="Tempos do WW estimados"/>
    <n v="5"/>
    <n v="3"/>
    <n v="3"/>
    <n v="3"/>
    <n v="5"/>
    <n v="2"/>
    <n v="1"/>
    <n v="4"/>
    <n v="2"/>
    <n v="1"/>
    <n v="1"/>
    <n v="4"/>
    <n v="3"/>
    <n v="3"/>
    <n v="4"/>
    <n v="3"/>
    <n v="4"/>
    <n v="3"/>
    <n v="4"/>
    <n v="4"/>
    <n v="3"/>
    <n v="2"/>
    <n v="4"/>
    <n v="2"/>
    <n v="4"/>
    <n v="3"/>
    <n v="3"/>
    <n v="5"/>
    <n v="4"/>
    <n v="1"/>
    <n v="4"/>
    <n v="3"/>
    <n v="3"/>
    <n v="3"/>
    <n v="3"/>
    <n v="2"/>
    <n v="1"/>
    <n v="2"/>
    <n v="1"/>
    <n v="3"/>
    <n v="2"/>
    <n v="2"/>
    <n v="3"/>
    <n v="4"/>
    <n v="5"/>
    <n v="2"/>
    <n v="3"/>
    <n v="2"/>
    <n v="1"/>
    <n v="3"/>
    <n v="3"/>
    <n v="3"/>
    <n v="3"/>
    <n v="1"/>
    <n v="4"/>
    <n v="4"/>
    <n v="4"/>
    <n v="3"/>
    <n v="5"/>
    <n v="2"/>
    <n v="2"/>
    <n v="3"/>
    <n v="1"/>
    <n v="3"/>
    <n v="4"/>
    <n v="2"/>
    <n v="5"/>
    <n v="5"/>
    <s v="4 com a pergunta"/>
    <n v="1"/>
    <n v="3"/>
    <n v="2"/>
    <n v="4"/>
    <n v="2"/>
    <n v="2"/>
    <n v="1"/>
    <n v="2"/>
    <n v="3"/>
    <n v="3"/>
    <n v="1"/>
    <n v="1"/>
    <n v="5"/>
    <n v="2"/>
    <n v="2"/>
    <n v="1"/>
    <n v="3"/>
    <n v="2"/>
    <n v="4"/>
    <n v="1"/>
    <n v="2"/>
    <n v="2"/>
    <n v="5"/>
    <n v="4"/>
    <n v="3"/>
    <n v="3"/>
    <n v="4"/>
    <n v="4"/>
    <n v="5"/>
    <n v="2"/>
    <n v="2"/>
    <n v="1"/>
    <n v="4"/>
    <n v="2"/>
    <n v="3"/>
    <n v="3"/>
    <n v="2"/>
    <n v="2"/>
    <n v="3"/>
    <n v="2"/>
    <n v="1"/>
    <n v="1"/>
    <n v="4"/>
    <n v="1"/>
    <n v="2"/>
    <n v="1"/>
    <n v="3"/>
    <n v="3"/>
    <n v="4"/>
    <n v="3"/>
    <n v="3"/>
    <n v="1"/>
    <n v="4"/>
    <n v="3"/>
    <n v="4.5"/>
    <x v="5"/>
    <n v="3.5"/>
    <x v="3"/>
    <n v="4"/>
    <x v="0"/>
    <n v="1.75"/>
    <n v="2.75"/>
    <n v="2.25"/>
    <n v="3"/>
    <x v="3"/>
    <n v="1"/>
    <n v="3.5"/>
    <n v="3.25"/>
    <x v="9"/>
    <x v="7"/>
    <n v="2.5"/>
    <n v="2.75"/>
    <n v="3.25"/>
    <x v="11"/>
    <n v="3.75"/>
    <n v="4"/>
    <n v="3"/>
    <n v="4.5"/>
    <n v="3.5"/>
    <n v="4.25"/>
    <x v="12"/>
    <n v="4"/>
  </r>
  <r>
    <n v="25"/>
    <d v="2023-06-21T10:55:20"/>
    <d v="2023-06-21T10:57:23"/>
    <s v="Consinto em participar no questionário e que os dados recolhidos sejam utilizados para os fins acima referidos."/>
    <s v="42"/>
    <s v="Feminino"/>
    <s v="Num relacionamento (casamento, união de facto, etc.)"/>
    <s v="Sim"/>
    <s v="Licenciatura (3-5 anos)"/>
    <s v="Humanidades"/>
    <s v="Trabalhador(a) por conta de outrem"/>
    <s v="Assistente Técnico "/>
    <s v="Já joguei, mas de momento não jogo"/>
    <s v="Dispositivos móveis (telemóvel, tablet);"/>
    <s v="Aventura;Puzzles;Simulação;Fantasia;"/>
    <m/>
    <m/>
    <m/>
    <m/>
    <m/>
    <m/>
    <m/>
    <m/>
    <m/>
    <m/>
    <m/>
    <m/>
    <n v="1"/>
    <n v="0"/>
    <m/>
    <n v="1.05"/>
    <n v="0"/>
    <n v="1"/>
    <n v="17.329008999999999"/>
    <n v="0"/>
    <n v="0"/>
    <m/>
    <m/>
    <n v="16"/>
    <n v="0.375"/>
    <m/>
    <n v="17.450000000000003"/>
    <n v="0"/>
    <n v="0.66666666666666663"/>
    <n v="24.006426000000001"/>
    <n v="0.23499999999999999"/>
    <n v="0"/>
    <m/>
    <m/>
    <m/>
    <m/>
    <m/>
    <m/>
    <n v="0"/>
    <n v="1"/>
    <n v="8.4474689999999999"/>
    <n v="0"/>
    <n v="0"/>
    <m/>
    <m/>
    <m/>
    <m/>
    <m/>
    <m/>
    <n v="0"/>
    <n v="1"/>
    <n v="15.746777"/>
    <n v="0"/>
    <m/>
    <m/>
    <m/>
    <m/>
    <n v="0"/>
    <n v="1"/>
    <n v="15.322917"/>
    <n v="0"/>
    <n v="0"/>
    <m/>
    <m/>
    <n v="1"/>
    <n v="0"/>
    <m/>
    <n v="1.05"/>
    <n v="0"/>
    <n v="1"/>
    <n v="24.255317999999999"/>
    <n v="0.37"/>
    <n v="0"/>
    <m/>
    <m/>
    <x v="3"/>
    <n v="2"/>
    <n v="0"/>
    <n v="0"/>
    <n v="0"/>
    <n v="0"/>
    <n v="0.29166666666666669"/>
    <n v="0.43636363636363634"/>
    <n v="1"/>
    <n v="233"/>
    <n v="580"/>
    <n v="1"/>
    <m/>
    <m/>
    <m/>
    <m/>
    <m/>
    <m/>
    <x v="1"/>
    <n v="0"/>
    <m/>
    <n v="4"/>
    <n v="4"/>
    <n v="5"/>
    <n v="4"/>
    <n v="4"/>
    <n v="2"/>
    <n v="4"/>
    <n v="5"/>
    <n v="1"/>
    <n v="4"/>
    <n v="2"/>
    <n v="3"/>
    <n v="4"/>
    <n v="4"/>
    <n v="5"/>
    <n v="3"/>
    <n v="1"/>
    <n v="4"/>
    <n v="1"/>
    <n v="3"/>
    <n v="3"/>
    <n v="3"/>
    <n v="4"/>
    <n v="1"/>
    <n v="3"/>
    <n v="3"/>
    <n v="4"/>
    <n v="4"/>
    <n v="4"/>
    <n v="3"/>
    <n v="2"/>
    <n v="4"/>
    <n v="4"/>
    <n v="3"/>
    <n v="3"/>
    <n v="1"/>
    <n v="2"/>
    <n v="5"/>
    <n v="1"/>
    <n v="4"/>
    <n v="2"/>
    <n v="1"/>
    <n v="4"/>
    <n v="4"/>
    <n v="5"/>
    <n v="3"/>
    <n v="2"/>
    <n v="3"/>
    <n v="1"/>
    <n v="3"/>
    <n v="3"/>
    <n v="3"/>
    <n v="2"/>
    <n v="3"/>
    <n v="4"/>
    <n v="2"/>
    <n v="4"/>
    <n v="4"/>
    <n v="4"/>
    <n v="2"/>
    <n v="1"/>
    <n v="2"/>
    <n v="4"/>
    <n v="4"/>
    <n v="4"/>
    <n v="2"/>
    <n v="3"/>
    <n v="2"/>
    <n v="4"/>
    <n v="2"/>
    <n v="4"/>
    <n v="2"/>
    <n v="2"/>
    <n v="3"/>
    <n v="1"/>
    <n v="1"/>
    <n v="3"/>
    <n v="3"/>
    <n v="2"/>
    <n v="1"/>
    <n v="2"/>
    <n v="3"/>
    <n v="1"/>
    <n v="4"/>
    <n v="3"/>
    <n v="3"/>
    <n v="1"/>
    <n v="5"/>
    <n v="1"/>
    <n v="3"/>
    <n v="1"/>
    <n v="3"/>
    <n v="2"/>
    <n v="3"/>
    <n v="2"/>
    <n v="3"/>
    <n v="4"/>
    <n v="2"/>
    <n v="1"/>
    <n v="1"/>
    <n v="4"/>
    <n v="5"/>
    <n v="3"/>
    <n v="1"/>
    <n v="2"/>
    <n v="1"/>
    <n v="2"/>
    <n v="5"/>
    <n v="3"/>
    <n v="1"/>
    <n v="2"/>
    <n v="4"/>
    <n v="1"/>
    <n v="1"/>
    <n v="1"/>
    <n v="3"/>
    <n v="3"/>
    <n v="5"/>
    <n v="4"/>
    <n v="3"/>
    <n v="2"/>
    <n v="3.5"/>
    <n v="2.5"/>
    <n v="5"/>
    <x v="7"/>
    <n v="3.25"/>
    <x v="2"/>
    <n v="2.5"/>
    <x v="8"/>
    <n v="1.75"/>
    <n v="3.25"/>
    <n v="2.75"/>
    <n v="2.25"/>
    <x v="1"/>
    <n v="3.25"/>
    <n v="2.25"/>
    <n v="1.75"/>
    <x v="9"/>
    <x v="3"/>
    <n v="4"/>
    <n v="4.75"/>
    <n v="4"/>
    <x v="11"/>
    <n v="3.75"/>
    <n v="3.75"/>
    <n v="3.75"/>
    <n v="4.75"/>
    <n v="4.25"/>
    <n v="5"/>
    <x v="3"/>
    <n v="3.5"/>
  </r>
  <r>
    <n v="26"/>
    <d v="2023-06-21T10:58:19"/>
    <d v="2023-06-21T11:00:19"/>
    <s v="Consinto em participar no questionário e que os dados recolhidos sejam utilizados para os fins acima referidos."/>
    <s v="46"/>
    <s v="Masculino"/>
    <s v="Solteiro(a)"/>
    <s v="Não"/>
    <s v="Licenciatura (3-5 anos)"/>
    <s v="Outra"/>
    <s v="Estudante"/>
    <s v="Gestor Desportivo "/>
    <s v="Já joguei, mas de momento não jogo"/>
    <s v="Consolas fixas (XBox, Playstation...);Computador (portátil, desktop...);"/>
    <s v="Estratégia;RPG/MMORPG;Aventura;Fantasia;"/>
    <m/>
    <m/>
    <m/>
    <m/>
    <m/>
    <m/>
    <m/>
    <m/>
    <m/>
    <m/>
    <m/>
    <m/>
    <m/>
    <m/>
    <m/>
    <m/>
    <n v="0"/>
    <n v="1"/>
    <n v="44.752974999999999"/>
    <n v="0"/>
    <n v="1"/>
    <n v="0"/>
    <n v="1"/>
    <n v="8"/>
    <n v="0.875"/>
    <n v="61.666595000000001"/>
    <n v="9.4"/>
    <m/>
    <m/>
    <m/>
    <m/>
    <n v="0"/>
    <m/>
    <m/>
    <m/>
    <m/>
    <m/>
    <m/>
    <n v="0"/>
    <n v="1"/>
    <n v="21.453054000000002"/>
    <n v="0"/>
    <n v="0"/>
    <m/>
    <m/>
    <n v="3"/>
    <n v="0"/>
    <m/>
    <n v="2.5500000000000003"/>
    <n v="0"/>
    <n v="1"/>
    <n v="13.077408999999999"/>
    <n v="0.125"/>
    <m/>
    <m/>
    <m/>
    <m/>
    <n v="0"/>
    <n v="1"/>
    <n v="11.127056"/>
    <n v="0"/>
    <n v="0"/>
    <m/>
    <m/>
    <m/>
    <m/>
    <m/>
    <m/>
    <n v="0"/>
    <n v="1"/>
    <n v="22.737992999999999"/>
    <n v="0.2"/>
    <n v="0"/>
    <m/>
    <m/>
    <x v="1"/>
    <n v="1"/>
    <n v="0.2"/>
    <n v="0.2"/>
    <n v="0"/>
    <n v="0"/>
    <n v="0.97916666666666663"/>
    <n v="0.99090909090909096"/>
    <n v="2"/>
    <n v="874"/>
    <n v="903"/>
    <n v="0"/>
    <m/>
    <m/>
    <m/>
    <m/>
    <m/>
    <m/>
    <x v="1"/>
    <n v="0"/>
    <m/>
    <n v="5"/>
    <n v="4"/>
    <n v="5"/>
    <n v="4"/>
    <n v="4"/>
    <n v="3"/>
    <n v="3"/>
    <n v="5"/>
    <n v="1"/>
    <n v="5"/>
    <n v="3"/>
    <n v="5"/>
    <n v="4"/>
    <n v="5"/>
    <n v="5"/>
    <n v="3"/>
    <n v="3"/>
    <n v="4"/>
    <n v="1"/>
    <n v="4"/>
    <n v="2"/>
    <n v="4"/>
    <n v="5"/>
    <n v="3"/>
    <n v="4"/>
    <n v="2"/>
    <n v="4"/>
    <n v="2"/>
    <n v="5"/>
    <n v="2"/>
    <n v="4"/>
    <n v="4"/>
    <n v="5"/>
    <n v="3"/>
    <n v="4"/>
    <n v="3"/>
    <n v="2"/>
    <n v="5"/>
    <n v="1"/>
    <n v="1"/>
    <n v="1"/>
    <n v="3"/>
    <n v="4"/>
    <n v="4"/>
    <n v="5"/>
    <n v="3"/>
    <n v="3"/>
    <n v="2"/>
    <n v="1"/>
    <n v="4"/>
    <n v="3"/>
    <n v="4"/>
    <n v="3"/>
    <n v="3"/>
    <n v="4"/>
    <n v="2"/>
    <n v="4"/>
    <n v="4"/>
    <n v="4"/>
    <n v="1"/>
    <n v="2"/>
    <n v="2"/>
    <n v="5"/>
    <n v="4"/>
    <n v="5"/>
    <n v="2"/>
    <n v="2"/>
    <n v="2"/>
    <n v="4"/>
    <n v="1"/>
    <n v="1"/>
    <n v="2"/>
    <n v="4"/>
    <n v="2"/>
    <n v="1"/>
    <n v="2"/>
    <n v="2"/>
    <n v="4"/>
    <n v="3"/>
    <n v="1"/>
    <n v="1"/>
    <n v="4"/>
    <n v="3"/>
    <n v="2"/>
    <n v="2"/>
    <n v="2"/>
    <n v="2"/>
    <n v="5"/>
    <n v="1"/>
    <n v="1"/>
    <n v="2"/>
    <n v="2"/>
    <n v="2"/>
    <n v="3"/>
    <n v="2"/>
    <n v="4"/>
    <n v="4"/>
    <n v="1"/>
    <n v="1"/>
    <n v="1"/>
    <n v="1"/>
    <n v="5"/>
    <n v="2"/>
    <n v="1"/>
    <n v="2"/>
    <n v="1"/>
    <n v="4"/>
    <n v="4"/>
    <n v="2"/>
    <n v="1"/>
    <n v="1"/>
    <n v="4"/>
    <n v="1"/>
    <n v="2"/>
    <n v="1"/>
    <n v="2"/>
    <n v="4"/>
    <n v="5"/>
    <n v="4"/>
    <n v="2"/>
    <n v="1"/>
    <n v="4.25"/>
    <n v="5"/>
    <n v="4.75"/>
    <x v="2"/>
    <n v="4"/>
    <x v="3"/>
    <n v="3.25"/>
    <x v="1"/>
    <n v="1.75"/>
    <n v="2.5"/>
    <n v="2.25"/>
    <n v="2"/>
    <x v="1"/>
    <n v="3.5"/>
    <n v="4"/>
    <n v="3"/>
    <x v="7"/>
    <x v="3"/>
    <n v="4.5"/>
    <n v="4.75"/>
    <n v="4.25"/>
    <x v="2"/>
    <n v="4"/>
    <n v="3.25"/>
    <n v="3.75"/>
    <n v="5"/>
    <n v="4.5"/>
    <n v="5"/>
    <x v="1"/>
    <n v="4.5"/>
  </r>
  <r>
    <n v="27"/>
    <d v="2023-06-21T11:00:51"/>
    <d v="2023-06-21T11:02:29"/>
    <s v="Consinto em participar no questionário e que os dados recolhidos sejam utilizados para os fins acima referidos."/>
    <s v="24"/>
    <s v="Masculino"/>
    <s v="Solteiro(a)"/>
    <s v="Não"/>
    <s v="Licenciatura (3-5 anos)"/>
    <s v="Engenharia e Tecnologia"/>
    <s v="Estudante"/>
    <s v="Engenheiro Mecânico "/>
    <s v="Algumas vezes por semana"/>
    <s v="Computador (portátil, desktop...);"/>
    <s v="RPG/MMORPG;Aventura;Desporto;"/>
    <m/>
    <m/>
    <m/>
    <m/>
    <n v="1"/>
    <n v="0"/>
    <n v="24.384840000000001"/>
    <n v="0"/>
    <n v="1"/>
    <n v="1"/>
    <n v="17.675695999999999"/>
    <n v="1.9024999999999821"/>
    <n v="0"/>
    <n v="1"/>
    <n v="7.9652579999999995"/>
    <n v="1.05"/>
    <m/>
    <m/>
    <m/>
    <m/>
    <n v="0"/>
    <m/>
    <m/>
    <n v="5"/>
    <n v="0.875"/>
    <n v="26.835391000000001"/>
    <n v="5.5"/>
    <m/>
    <m/>
    <m/>
    <m/>
    <n v="0"/>
    <m/>
    <m/>
    <m/>
    <m/>
    <m/>
    <m/>
    <n v="0"/>
    <n v="1"/>
    <n v="15.966291999999999"/>
    <n v="0"/>
    <n v="0"/>
    <m/>
    <m/>
    <n v="0"/>
    <n v="1"/>
    <n v="39.914362000000004"/>
    <n v="0"/>
    <m/>
    <m/>
    <m/>
    <m/>
    <m/>
    <m/>
    <m/>
    <m/>
    <n v="0"/>
    <n v="1"/>
    <n v="14.433067999999999"/>
    <n v="0"/>
    <n v="0"/>
    <m/>
    <m/>
    <m/>
    <m/>
    <m/>
    <m/>
    <n v="0"/>
    <n v="1"/>
    <n v="14.582455"/>
    <n v="0.06"/>
    <n v="0"/>
    <m/>
    <m/>
    <x v="4"/>
    <n v="0"/>
    <n v="0"/>
    <n v="0"/>
    <n v="0"/>
    <n v="1"/>
    <n v="1"/>
    <n v="1"/>
    <n v="2"/>
    <n v="335"/>
    <n v="1300"/>
    <n v="2"/>
    <m/>
    <m/>
    <m/>
    <m/>
    <m/>
    <m/>
    <x v="1"/>
    <n v="0"/>
    <m/>
    <n v="5"/>
    <n v="4"/>
    <n v="5"/>
    <n v="2"/>
    <n v="3"/>
    <n v="3"/>
    <n v="4"/>
    <n v="3"/>
    <n v="2"/>
    <n v="3"/>
    <n v="4"/>
    <n v="4"/>
    <n v="2"/>
    <n v="4"/>
    <n v="3"/>
    <n v="3"/>
    <n v="3"/>
    <n v="3"/>
    <n v="3"/>
    <n v="4"/>
    <n v="2"/>
    <n v="4"/>
    <n v="4"/>
    <n v="2"/>
    <n v="2"/>
    <n v="3"/>
    <n v="2"/>
    <n v="2"/>
    <n v="4"/>
    <n v="1"/>
    <n v="5"/>
    <n v="4"/>
    <n v="4"/>
    <n v="2"/>
    <n v="2"/>
    <n v="3"/>
    <n v="3"/>
    <n v="5"/>
    <n v="2"/>
    <n v="5"/>
    <n v="3"/>
    <n v="1"/>
    <n v="3"/>
    <n v="4"/>
    <n v="4"/>
    <n v="4"/>
    <n v="3"/>
    <n v="3"/>
    <n v="2"/>
    <n v="3"/>
    <n v="4"/>
    <n v="4"/>
    <n v="3"/>
    <n v="1"/>
    <n v="2"/>
    <n v="3"/>
    <n v="3"/>
    <n v="2"/>
    <n v="4"/>
    <n v="1"/>
    <n v="4"/>
    <n v="3"/>
    <n v="4"/>
    <n v="2"/>
    <n v="2"/>
    <n v="3"/>
    <n v="4"/>
    <n v="4"/>
    <n v="4"/>
    <n v="1"/>
    <n v="5"/>
    <n v="4"/>
    <n v="1"/>
    <n v="1"/>
    <n v="2"/>
    <n v="2"/>
    <n v="2"/>
    <n v="2"/>
    <n v="2"/>
    <n v="2"/>
    <n v="2"/>
    <n v="2"/>
    <n v="2"/>
    <n v="2"/>
    <n v="1"/>
    <n v="4"/>
    <n v="4"/>
    <n v="2"/>
    <n v="3"/>
    <n v="2"/>
    <n v="4"/>
    <n v="4"/>
    <n v="2"/>
    <n v="5"/>
    <n v="4"/>
    <n v="2"/>
    <n v="4"/>
    <n v="4"/>
    <n v="3"/>
    <n v="2"/>
    <n v="4"/>
    <n v="2"/>
    <n v="4"/>
    <n v="2"/>
    <n v="2"/>
    <n v="4"/>
    <n v="2"/>
    <n v="5"/>
    <n v="3"/>
    <n v="2"/>
    <n v="1"/>
    <n v="5"/>
    <n v="1"/>
    <n v="3"/>
    <n v="1"/>
    <n v="4"/>
    <n v="2"/>
    <n v="2"/>
    <n v="2"/>
    <n v="1"/>
    <n v="1"/>
    <n v="2.25"/>
    <n v="1.75"/>
    <n v="3.25"/>
    <x v="1"/>
    <n v="2"/>
    <x v="10"/>
    <n v="4.5"/>
    <x v="2"/>
    <n v="3.75"/>
    <n v="3.25"/>
    <n v="2.25"/>
    <n v="3.5"/>
    <x v="6"/>
    <n v="2.75"/>
    <n v="2"/>
    <n v="2.25"/>
    <x v="2"/>
    <x v="9"/>
    <n v="4.5"/>
    <n v="3.25"/>
    <n v="3.5"/>
    <x v="5"/>
    <n v="3.5"/>
    <n v="2.75"/>
    <n v="2"/>
    <n v="4.25"/>
    <n v="4"/>
    <n v="3.75"/>
    <x v="12"/>
    <n v="4.25"/>
  </r>
  <r>
    <n v="28"/>
    <d v="2023-06-21T12:47:38"/>
    <d v="2023-06-21T12:49:22"/>
    <s v="Consinto em participar no questionário e que os dados recolhidos sejam utilizados para os fins acima referidos."/>
    <s v="36"/>
    <s v="Feminino"/>
    <s v="Num relacionamento (casamento, união de facto, etc.)"/>
    <s v="Não"/>
    <s v="Licenciatura (3-5 anos)"/>
    <s v="Humanidades"/>
    <s v="Trabalhador(a) por conta de outrem"/>
    <s v="Técnico Superior -Jurista"/>
    <s v="Nunca"/>
    <s v="Não costumo jogar;"/>
    <s v="Nenhum;"/>
    <m/>
    <m/>
    <m/>
    <m/>
    <m/>
    <m/>
    <m/>
    <m/>
    <m/>
    <m/>
    <m/>
    <m/>
    <n v="1"/>
    <n v="0"/>
    <m/>
    <n v="1.05"/>
    <n v="0"/>
    <n v="1"/>
    <n v="6.8698249999999996"/>
    <n v="0"/>
    <n v="0"/>
    <m/>
    <m/>
    <n v="2"/>
    <n v="0.125"/>
    <m/>
    <n v="2.2000000000000002"/>
    <n v="0"/>
    <n v="1"/>
    <n v="7.944426"/>
    <n v="5.5E-2"/>
    <n v="0"/>
    <m/>
    <m/>
    <m/>
    <m/>
    <m/>
    <m/>
    <n v="0"/>
    <n v="1"/>
    <n v="6.3588829999999996"/>
    <n v="0"/>
    <n v="0"/>
    <m/>
    <m/>
    <m/>
    <m/>
    <m/>
    <m/>
    <n v="0"/>
    <n v="1"/>
    <n v="12.837522999999999"/>
    <n v="0"/>
    <m/>
    <m/>
    <m/>
    <m/>
    <n v="0"/>
    <n v="1"/>
    <n v="13.059723"/>
    <n v="0"/>
    <n v="0"/>
    <m/>
    <m/>
    <n v="1"/>
    <n v="0"/>
    <m/>
    <n v="1.05"/>
    <n v="0"/>
    <n v="1"/>
    <n v="12.097588999999999"/>
    <n v="7.4999999999999997E-3"/>
    <n v="0"/>
    <m/>
    <m/>
    <x v="3"/>
    <n v="1"/>
    <n v="0"/>
    <n v="0"/>
    <n v="0"/>
    <n v="0"/>
    <n v="0.35416666666666669"/>
    <n v="0.5"/>
    <n v="0"/>
    <n v="148"/>
    <n v="550"/>
    <n v="0"/>
    <m/>
    <m/>
    <m/>
    <m/>
    <m/>
    <m/>
    <x v="1"/>
    <n v="0"/>
    <m/>
    <n v="5"/>
    <n v="4"/>
    <n v="5"/>
    <n v="3"/>
    <n v="4"/>
    <n v="2"/>
    <n v="3"/>
    <n v="4"/>
    <n v="1"/>
    <n v="5"/>
    <n v="2"/>
    <n v="5"/>
    <n v="4"/>
    <n v="5"/>
    <n v="5"/>
    <n v="1"/>
    <n v="4"/>
    <n v="3"/>
    <n v="1"/>
    <n v="5"/>
    <n v="3"/>
    <n v="4"/>
    <n v="4"/>
    <n v="1"/>
    <n v="4"/>
    <n v="1"/>
    <n v="4"/>
    <n v="3"/>
    <n v="5"/>
    <n v="2"/>
    <n v="3"/>
    <n v="4"/>
    <n v="4"/>
    <n v="3"/>
    <n v="2"/>
    <n v="2"/>
    <n v="3"/>
    <n v="4"/>
    <n v="1"/>
    <n v="1"/>
    <n v="1"/>
    <n v="4"/>
    <n v="4"/>
    <n v="5"/>
    <n v="5"/>
    <n v="1"/>
    <n v="4"/>
    <n v="2"/>
    <n v="1"/>
    <n v="5"/>
    <n v="2"/>
    <n v="4"/>
    <n v="4"/>
    <n v="3"/>
    <n v="5"/>
    <n v="3"/>
    <n v="4"/>
    <n v="5"/>
    <n v="5"/>
    <n v="2"/>
    <n v="2"/>
    <n v="1"/>
    <n v="4"/>
    <n v="3"/>
    <n v="4"/>
    <n v="2"/>
    <n v="3"/>
    <n v="2"/>
    <n v="4"/>
    <n v="1"/>
    <n v="2"/>
    <n v="2"/>
    <n v="4"/>
    <n v="1"/>
    <n v="1"/>
    <n v="2"/>
    <n v="3"/>
    <n v="5"/>
    <n v="3"/>
    <n v="1"/>
    <n v="1"/>
    <n v="3"/>
    <n v="3"/>
    <n v="2"/>
    <n v="1"/>
    <n v="2"/>
    <n v="1"/>
    <n v="5"/>
    <n v="3"/>
    <n v="1"/>
    <n v="1"/>
    <n v="3"/>
    <n v="2"/>
    <n v="3"/>
    <n v="3"/>
    <n v="3"/>
    <n v="1"/>
    <n v="3"/>
    <n v="1"/>
    <n v="1"/>
    <n v="2"/>
    <n v="5"/>
    <n v="2"/>
    <n v="1"/>
    <n v="1"/>
    <n v="1"/>
    <n v="1"/>
    <n v="3"/>
    <n v="3"/>
    <n v="1"/>
    <n v="1"/>
    <n v="3"/>
    <n v="1"/>
    <n v="2"/>
    <n v="1"/>
    <n v="2"/>
    <n v="3"/>
    <n v="4"/>
    <n v="4"/>
    <n v="1"/>
    <n v="1"/>
    <n v="3.25"/>
    <n v="4.5"/>
    <n v="4.75"/>
    <x v="9"/>
    <n v="4.25"/>
    <x v="3"/>
    <n v="3.25"/>
    <x v="2"/>
    <n v="1.5"/>
    <n v="2.5"/>
    <n v="3.25"/>
    <n v="2"/>
    <x v="7"/>
    <n v="3"/>
    <n v="4.25"/>
    <n v="4"/>
    <x v="7"/>
    <x v="1"/>
    <n v="4"/>
    <n v="4.25"/>
    <n v="4.5"/>
    <x v="5"/>
    <n v="3.5"/>
    <n v="3.25"/>
    <n v="3"/>
    <n v="5"/>
    <n v="5"/>
    <n v="5"/>
    <x v="0"/>
    <n v="5"/>
  </r>
  <r>
    <n v="29"/>
    <d v="2023-06-21T12:50:09"/>
    <d v="2023-06-21T12:51:34"/>
    <s v="Consinto em participar no questionário e que os dados recolhidos sejam utilizados para os fins acima referidos."/>
    <s v="50"/>
    <s v="Feminino"/>
    <s v="Num relacionamento (casamento, união de facto, etc.)"/>
    <s v="Não"/>
    <s v="Licenciatura (3-5 anos)"/>
    <s v="Humanidades"/>
    <s v="Trabalhador(a) por conta de outrem"/>
    <s v="Técnica Superior Jurista "/>
    <s v="Algumas vezes por dia"/>
    <s v="Dispositivos móveis (telemóvel, tablet);"/>
    <s v="Puzzles;"/>
    <m/>
    <m/>
    <m/>
    <m/>
    <m/>
    <m/>
    <m/>
    <m/>
    <m/>
    <m/>
    <m/>
    <m/>
    <n v="8"/>
    <n v="0.2"/>
    <m/>
    <n v="8.4"/>
    <n v="0"/>
    <n v="1"/>
    <n v="34.507726999999996"/>
    <n v="0"/>
    <n v="0"/>
    <m/>
    <m/>
    <m/>
    <m/>
    <m/>
    <m/>
    <n v="0"/>
    <n v="1"/>
    <n v="34.507726999999996"/>
    <n v="0.05"/>
    <n v="0"/>
    <m/>
    <m/>
    <m/>
    <m/>
    <m/>
    <m/>
    <n v="0"/>
    <n v="1"/>
    <n v="13.572184"/>
    <n v="0"/>
    <n v="0"/>
    <m/>
    <m/>
    <m/>
    <m/>
    <m/>
    <m/>
    <n v="0"/>
    <n v="1"/>
    <n v="9.5189369999999993"/>
    <n v="0"/>
    <n v="3"/>
    <n v="1"/>
    <n v="23.036047999999997"/>
    <n v="3.1500000000000004"/>
    <m/>
    <m/>
    <m/>
    <m/>
    <n v="1"/>
    <n v="1"/>
    <n v="0"/>
    <n v="0"/>
    <n v="0.6"/>
    <n v="14.881926999999999"/>
    <n v="0"/>
    <m/>
    <m/>
    <m/>
    <m/>
    <n v="0"/>
    <m/>
    <m/>
    <x v="3"/>
    <n v="2"/>
    <n v="0.2"/>
    <n v="0.2"/>
    <n v="0"/>
    <n v="0"/>
    <n v="0.97916666666666663"/>
    <n v="0.99090909090909096"/>
    <n v="3"/>
    <n v="469"/>
    <n v="1112"/>
    <n v="1"/>
    <m/>
    <m/>
    <m/>
    <m/>
    <m/>
    <m/>
    <x v="1"/>
    <n v="0"/>
    <m/>
    <n v="5"/>
    <n v="4"/>
    <n v="4"/>
    <n v="3"/>
    <n v="4"/>
    <n v="3"/>
    <n v="3"/>
    <n v="5"/>
    <n v="1"/>
    <n v="3"/>
    <n v="4"/>
    <n v="4"/>
    <n v="4"/>
    <n v="5"/>
    <n v="5"/>
    <n v="3"/>
    <n v="4"/>
    <n v="4"/>
    <n v="1"/>
    <n v="4"/>
    <n v="5"/>
    <n v="4"/>
    <n v="5"/>
    <n v="1"/>
    <n v="1"/>
    <n v="4"/>
    <n v="4"/>
    <n v="3"/>
    <n v="4"/>
    <n v="2"/>
    <n v="5"/>
    <n v="3"/>
    <n v="1"/>
    <n v="2"/>
    <n v="3"/>
    <n v="3"/>
    <n v="4"/>
    <n v="4"/>
    <n v="1"/>
    <n v="4"/>
    <n v="2"/>
    <n v="1"/>
    <n v="4"/>
    <n v="5"/>
    <n v="5"/>
    <n v="3"/>
    <n v="3"/>
    <n v="3"/>
    <n v="3"/>
    <n v="3"/>
    <n v="3"/>
    <n v="4"/>
    <n v="4"/>
    <n v="2"/>
    <n v="3"/>
    <n v="3"/>
    <n v="3"/>
    <n v="4"/>
    <n v="4"/>
    <n v="2"/>
    <n v="4"/>
    <n v="3"/>
    <n v="3"/>
    <n v="3"/>
    <n v="3"/>
    <n v="3"/>
    <n v="3"/>
    <n v="2"/>
    <n v="1"/>
    <n v="1"/>
    <n v="4"/>
    <n v="4"/>
    <n v="4"/>
    <n v="2"/>
    <n v="1"/>
    <n v="2"/>
    <n v="4"/>
    <n v="3"/>
    <n v="2"/>
    <n v="1"/>
    <n v="2"/>
    <n v="2"/>
    <n v="4"/>
    <n v="2"/>
    <n v="2"/>
    <n v="3"/>
    <n v="3"/>
    <n v="3"/>
    <n v="2"/>
    <n v="2"/>
    <n v="2"/>
    <n v="3"/>
    <n v="2"/>
    <n v="4"/>
    <n v="3"/>
    <n v="3"/>
    <n v="2"/>
    <n v="2"/>
    <n v="2"/>
    <n v="2"/>
    <n v="4"/>
    <n v="4"/>
    <n v="3"/>
    <n v="2"/>
    <n v="2"/>
    <n v="1"/>
    <n v="2"/>
    <n v="4"/>
    <n v="2"/>
    <n v="2"/>
    <n v="2"/>
    <n v="4"/>
    <n v="2"/>
    <n v="3"/>
    <n v="1"/>
    <n v="3"/>
    <n v="3"/>
    <n v="3"/>
    <n v="4"/>
    <n v="1"/>
    <n v="3"/>
    <n v="3.25"/>
    <n v="2.25"/>
    <n v="4.75"/>
    <x v="8"/>
    <n v="2.5"/>
    <x v="8"/>
    <n v="4.25"/>
    <x v="14"/>
    <n v="3"/>
    <n v="3.5"/>
    <n v="3.5"/>
    <n v="3.25"/>
    <x v="4"/>
    <n v="3.5"/>
    <n v="3"/>
    <n v="3"/>
    <x v="8"/>
    <x v="10"/>
    <n v="3"/>
    <n v="4.25"/>
    <n v="4"/>
    <x v="2"/>
    <n v="3.5"/>
    <n v="3.25"/>
    <n v="2.75"/>
    <n v="4.75"/>
    <n v="4.75"/>
    <n v="4.25"/>
    <x v="0"/>
    <n v="4.25"/>
  </r>
  <r>
    <n v="30"/>
    <d v="2023-06-21T12:49:18"/>
    <d v="2023-06-21T12:51:48"/>
    <s v="Consinto em participar no questionário e que os dados recolhidos sejam utilizados para os fins acima referidos."/>
    <s v="32"/>
    <s v="Feminino"/>
    <s v="Num relacionamento (casamento, união de facto, etc.)"/>
    <s v="Sim"/>
    <s v="Mestrado"/>
    <s v="Ciências sociais"/>
    <s v="Trabalhador(a) por conta de outrem"/>
    <s v="Técnica Superior "/>
    <s v="Outra frequência"/>
    <s v="Dispositivos móveis (telemóvel, tablet);Consolas portáteis (Nintendo switch, PSP, Wii U, etc..);"/>
    <s v="Estratégia;Puzzles;Simulação;Fantasia;"/>
    <m/>
    <m/>
    <m/>
    <m/>
    <m/>
    <m/>
    <m/>
    <m/>
    <m/>
    <m/>
    <m/>
    <m/>
    <n v="1"/>
    <n v="0.2"/>
    <m/>
    <n v="1.05"/>
    <n v="0"/>
    <n v="1"/>
    <n v="9"/>
    <n v="0"/>
    <n v="0"/>
    <m/>
    <m/>
    <n v="4"/>
    <n v="0.25"/>
    <m/>
    <n v="4.4000000000000004"/>
    <n v="0"/>
    <n v="0.33333333333333331"/>
    <n v="27"/>
    <n v="0.32"/>
    <n v="0"/>
    <m/>
    <m/>
    <m/>
    <m/>
    <m/>
    <m/>
    <n v="0"/>
    <n v="1"/>
    <n v="11"/>
    <n v="0"/>
    <n v="0"/>
    <m/>
    <m/>
    <m/>
    <m/>
    <m/>
    <m/>
    <n v="0"/>
    <n v="1"/>
    <n v="36"/>
    <n v="0"/>
    <m/>
    <m/>
    <m/>
    <m/>
    <n v="0"/>
    <n v="1"/>
    <n v="16"/>
    <n v="0"/>
    <n v="1"/>
    <n v="1"/>
    <n v="0.33333333333333331"/>
    <m/>
    <m/>
    <m/>
    <m/>
    <n v="0"/>
    <n v="1"/>
    <n v="17.878440000000001"/>
    <n v="6.5000000000000002E-2"/>
    <n v="0"/>
    <m/>
    <m/>
    <x v="1"/>
    <n v="2"/>
    <n v="0.2"/>
    <n v="0.2"/>
    <n v="0"/>
    <n v="0"/>
    <n v="6.25E-2"/>
    <n v="0.33636363636363636"/>
    <n v="0"/>
    <n v="149"/>
    <n v="370"/>
    <n v="0"/>
    <m/>
    <m/>
    <m/>
    <m/>
    <m/>
    <m/>
    <x v="1"/>
    <n v="0"/>
    <s v="Tempos do WW estimados"/>
    <n v="5"/>
    <n v="2"/>
    <n v="5"/>
    <n v="3"/>
    <n v="5"/>
    <n v="4"/>
    <n v="4"/>
    <n v="5"/>
    <n v="3"/>
    <n v="4"/>
    <n v="3"/>
    <n v="4"/>
    <n v="4"/>
    <n v="4"/>
    <n v="4"/>
    <n v="5"/>
    <n v="2"/>
    <n v="5"/>
    <n v="1"/>
    <n v="3"/>
    <n v="2"/>
    <n v="5"/>
    <n v="4"/>
    <n v="2"/>
    <n v="2"/>
    <n v="3"/>
    <n v="2"/>
    <n v="2"/>
    <n v="4"/>
    <n v="1"/>
    <n v="4"/>
    <n v="3"/>
    <n v="4"/>
    <n v="4"/>
    <n v="3"/>
    <n v="4"/>
    <n v="1"/>
    <n v="4"/>
    <n v="1"/>
    <n v="2"/>
    <n v="2"/>
    <n v="2"/>
    <n v="3"/>
    <n v="4"/>
    <n v="4"/>
    <n v="4"/>
    <n v="2"/>
    <n v="2"/>
    <n v="2"/>
    <n v="2"/>
    <n v="2"/>
    <n v="4"/>
    <n v="3"/>
    <n v="2"/>
    <n v="3"/>
    <n v="3"/>
    <n v="3"/>
    <n v="4"/>
    <n v="4"/>
    <n v="2"/>
    <n v="3"/>
    <n v="3"/>
    <n v="3"/>
    <n v="4"/>
    <n v="4"/>
    <n v="4"/>
    <n v="3"/>
    <n v="2"/>
    <n v="4"/>
    <n v="2"/>
    <n v="4"/>
    <n v="3"/>
    <n v="4"/>
    <n v="2"/>
    <n v="2"/>
    <n v="2"/>
    <n v="3"/>
    <n v="4"/>
    <n v="2"/>
    <n v="2"/>
    <n v="2"/>
    <n v="3"/>
    <n v="4"/>
    <n v="3"/>
    <n v="2"/>
    <n v="2"/>
    <n v="2"/>
    <n v="5"/>
    <n v="1"/>
    <n v="2"/>
    <n v="2"/>
    <n v="4"/>
    <n v="2"/>
    <n v="4"/>
    <n v="2"/>
    <n v="4"/>
    <n v="2"/>
    <n v="4"/>
    <n v="2"/>
    <n v="1"/>
    <n v="2"/>
    <n v="4"/>
    <n v="3"/>
    <n v="2"/>
    <n v="2"/>
    <n v="2"/>
    <n v="2"/>
    <n v="4"/>
    <n v="2"/>
    <n v="1"/>
    <n v="2"/>
    <n v="4"/>
    <n v="1"/>
    <n v="2"/>
    <n v="2"/>
    <n v="2"/>
    <n v="2"/>
    <n v="4"/>
    <n v="3"/>
    <n v="2"/>
    <n v="2"/>
    <n v="4"/>
    <n v="3.5"/>
    <n v="4"/>
    <x v="10"/>
    <n v="3.25"/>
    <x v="10"/>
    <n v="4"/>
    <x v="9"/>
    <n v="2.5"/>
    <n v="4"/>
    <n v="2.75"/>
    <n v="3"/>
    <x v="2"/>
    <n v="2.5"/>
    <n v="3.25"/>
    <n v="2.5"/>
    <x v="8"/>
    <x v="8"/>
    <n v="4"/>
    <n v="4.25"/>
    <n v="3.75"/>
    <x v="12"/>
    <n v="3.5"/>
    <n v="3.5"/>
    <n v="3.75"/>
    <n v="4.25"/>
    <n v="4"/>
    <n v="4.5"/>
    <x v="3"/>
    <n v="4"/>
  </r>
  <r>
    <n v="31"/>
    <d v="2023-06-21T13:10:29"/>
    <d v="2023-06-21T13:17:55"/>
    <s v="Consinto em participar no questionário e que os dados recolhidos sejam utilizados para os fins acima referidos."/>
    <s v="43"/>
    <s v="Masculino"/>
    <s v="Num relacionamento (casamento, união de facto, etc.)"/>
    <s v="Não"/>
    <s v="Licenciatura (3-5 anos)"/>
    <s v="Engenharia e Tecnologia"/>
    <s v="Trabalhador-estudante"/>
    <s v="Técnico construção "/>
    <s v="Algumas vezes por semana"/>
    <s v="Computador (portátil, desktop...);Dispositivos móveis (telemóvel, tablet);"/>
    <s v="Estratégia;Puzzles;RPG/MMORPG;"/>
    <m/>
    <m/>
    <m/>
    <m/>
    <m/>
    <m/>
    <m/>
    <m/>
    <m/>
    <m/>
    <m/>
    <m/>
    <m/>
    <m/>
    <m/>
    <m/>
    <n v="0"/>
    <n v="0.5"/>
    <n v="8.5294530000000002"/>
    <n v="0"/>
    <n v="0"/>
    <m/>
    <m/>
    <n v="1"/>
    <n v="0"/>
    <m/>
    <n v="1.1000000000000001"/>
    <n v="0"/>
    <n v="0.33333333333333331"/>
    <n v="7.5981420000000002"/>
    <n v="0.32250000000000001"/>
    <n v="0"/>
    <m/>
    <m/>
    <m/>
    <m/>
    <m/>
    <m/>
    <n v="0"/>
    <n v="1"/>
    <n v="5.2645029999999995"/>
    <n v="0"/>
    <n v="0"/>
    <m/>
    <m/>
    <m/>
    <m/>
    <m/>
    <m/>
    <n v="0"/>
    <n v="1"/>
    <n v="20.580029999999997"/>
    <n v="0"/>
    <m/>
    <m/>
    <m/>
    <m/>
    <n v="0"/>
    <n v="1"/>
    <n v="20.580029999999997"/>
    <n v="0"/>
    <n v="1"/>
    <n v="0"/>
    <n v="0.5"/>
    <m/>
    <m/>
    <m/>
    <m/>
    <n v="0"/>
    <n v="0.5"/>
    <n v="12.370153"/>
    <n v="2.75E-2"/>
    <n v="0"/>
    <m/>
    <m/>
    <x v="1"/>
    <n v="0"/>
    <n v="0.2"/>
    <n v="0.2"/>
    <n v="0"/>
    <n v="0"/>
    <n v="0"/>
    <n v="0.15454545454545454"/>
    <n v="0"/>
    <n v="149"/>
    <n v="170"/>
    <n v="0"/>
    <m/>
    <m/>
    <m/>
    <m/>
    <m/>
    <m/>
    <x v="1"/>
    <n v="0"/>
    <m/>
    <n v="4"/>
    <n v="2"/>
    <n v="4"/>
    <n v="3"/>
    <n v="4"/>
    <n v="3"/>
    <n v="2"/>
    <n v="4"/>
    <n v="1"/>
    <n v="3"/>
    <n v="3"/>
    <n v="4"/>
    <n v="4"/>
    <n v="4"/>
    <n v="4"/>
    <n v="3"/>
    <n v="3"/>
    <n v="4"/>
    <n v="1"/>
    <n v="4"/>
    <n v="4"/>
    <n v="3"/>
    <n v="3"/>
    <n v="2"/>
    <n v="3"/>
    <n v="3"/>
    <n v="2"/>
    <n v="3"/>
    <n v="3"/>
    <n v="3"/>
    <n v="3"/>
    <n v="3"/>
    <n v="3"/>
    <n v="3"/>
    <n v="3"/>
    <n v="3"/>
    <n v="2"/>
    <n v="4"/>
    <n v="1"/>
    <n v="2"/>
    <n v="1"/>
    <n v="3"/>
    <n v="4"/>
    <n v="4"/>
    <n v="5"/>
    <n v="3"/>
    <n v="3"/>
    <n v="3"/>
    <n v="2"/>
    <n v="4"/>
    <n v="3"/>
    <n v="3"/>
    <n v="4"/>
    <n v="2"/>
    <n v="4"/>
    <n v="3"/>
    <n v="4"/>
    <n v="4"/>
    <n v="3"/>
    <n v="3"/>
    <n v="3"/>
    <n v="3"/>
    <n v="3"/>
    <n v="3"/>
    <n v="4"/>
    <n v="3"/>
    <n v="4"/>
    <n v="2"/>
    <n v="4"/>
    <n v="3"/>
    <n v="4"/>
    <n v="2"/>
    <n v="4"/>
    <n v="4"/>
    <n v="2"/>
    <n v="2"/>
    <n v="4"/>
    <n v="4"/>
    <n v="3"/>
    <n v="2"/>
    <n v="2"/>
    <n v="3"/>
    <n v="2"/>
    <n v="4"/>
    <n v="3"/>
    <n v="3"/>
    <n v="2"/>
    <n v="4"/>
    <n v="3"/>
    <n v="2"/>
    <n v="3"/>
    <n v="3"/>
    <n v="3"/>
    <n v="2"/>
    <n v="2"/>
    <n v="4"/>
    <n v="3"/>
    <n v="3"/>
    <n v="3"/>
    <n v="1"/>
    <n v="2"/>
    <n v="3"/>
    <n v="2"/>
    <n v="2"/>
    <n v="2"/>
    <n v="2"/>
    <n v="2"/>
    <n v="4"/>
    <n v="3"/>
    <n v="5"/>
    <n v="2"/>
    <n v="3"/>
    <n v="3"/>
    <n v="3"/>
    <n v="3"/>
    <n v="3"/>
    <n v="3"/>
    <n v="3"/>
    <n v="4"/>
    <n v="3"/>
    <n v="3"/>
    <n v="3.75"/>
    <n v="3.25"/>
    <n v="4.25"/>
    <x v="1"/>
    <n v="3.25"/>
    <x v="5"/>
    <n v="3.25"/>
    <x v="3"/>
    <n v="2.25"/>
    <n v="3.5"/>
    <n v="3.25"/>
    <n v="2.75"/>
    <x v="3"/>
    <n v="2.25"/>
    <n v="3.75"/>
    <n v="3"/>
    <x v="2"/>
    <x v="10"/>
    <n v="3"/>
    <n v="3.75"/>
    <n v="3.5"/>
    <x v="5"/>
    <n v="2.5"/>
    <n v="3"/>
    <n v="3.25"/>
    <n v="4.5"/>
    <n v="4"/>
    <n v="3.5"/>
    <x v="2"/>
    <n v="3.25"/>
  </r>
  <r>
    <n v="32"/>
    <d v="2023-06-21T13:13:12"/>
    <d v="2023-06-21T13:18:11"/>
    <s v="Consinto em participar no questionário e que os dados recolhidos sejam utilizados para os fins acima referidos."/>
    <s v="45"/>
    <s v="Masculino"/>
    <s v="Num relacionamento (casamento, união de facto, etc.)"/>
    <s v="Sim"/>
    <s v="Mestrado"/>
    <s v="Outra"/>
    <s v="Outra"/>
    <s v="Arquiteto "/>
    <s v="Já joguei, mas de momento não jogo"/>
    <s v="Consolas fixas (XBox, Playstation...);Outra;"/>
    <s v="Desporto;"/>
    <n v="5"/>
    <m/>
    <m/>
    <n v="5.5"/>
    <n v="1"/>
    <n v="0"/>
    <n v="12"/>
    <n v="0"/>
    <n v="0"/>
    <n v="0"/>
    <n v="28"/>
    <n v="0"/>
    <n v="3"/>
    <n v="0"/>
    <m/>
    <n v="3.25"/>
    <n v="0"/>
    <n v="1"/>
    <n v="24"/>
    <n v="0"/>
    <n v="1"/>
    <n v="0"/>
    <n v="1"/>
    <n v="10"/>
    <n v="0.5"/>
    <m/>
    <n v="11"/>
    <n v="0"/>
    <n v="1"/>
    <n v="89"/>
    <n v="0"/>
    <n v="0"/>
    <m/>
    <m/>
    <m/>
    <m/>
    <m/>
    <m/>
    <n v="0"/>
    <n v="1"/>
    <n v="-1"/>
    <n v="0"/>
    <n v="0"/>
    <m/>
    <m/>
    <m/>
    <m/>
    <m/>
    <m/>
    <n v="0"/>
    <n v="1"/>
    <n v="-1"/>
    <n v="0"/>
    <m/>
    <m/>
    <m/>
    <m/>
    <n v="0"/>
    <n v="1"/>
    <n v="25"/>
    <n v="0"/>
    <n v="0"/>
    <m/>
    <m/>
    <m/>
    <m/>
    <m/>
    <m/>
    <n v="0"/>
    <n v="1"/>
    <n v="32.008740000000003"/>
    <n v="0.47249999999999998"/>
    <n v="0"/>
    <m/>
    <m/>
    <x v="4"/>
    <n v="2"/>
    <n v="1"/>
    <n v="0.2"/>
    <n v="0"/>
    <n v="1"/>
    <n v="0.3125"/>
    <n v="0.41818181818181815"/>
    <n v="1"/>
    <n v="335"/>
    <n v="560"/>
    <n v="1"/>
    <m/>
    <m/>
    <m/>
    <m/>
    <m/>
    <m/>
    <x v="1"/>
    <n v="0"/>
    <s v="Tempos do WW estimados"/>
    <n v="4"/>
    <n v="2"/>
    <n v="4"/>
    <n v="4"/>
    <n v="4"/>
    <n v="2"/>
    <n v="3"/>
    <n v="4"/>
    <n v="2"/>
    <n v="4"/>
    <n v="2"/>
    <n v="4"/>
    <n v="3"/>
    <n v="4"/>
    <n v="4"/>
    <n v="4"/>
    <n v="3"/>
    <n v="4"/>
    <n v="1"/>
    <n v="4"/>
    <n v="3"/>
    <n v="3"/>
    <n v="3"/>
    <n v="2"/>
    <n v="4"/>
    <n v="1"/>
    <n v="3"/>
    <n v="3"/>
    <n v="4"/>
    <n v="1"/>
    <n v="1"/>
    <n v="1"/>
    <n v="2"/>
    <n v="4"/>
    <n v="3"/>
    <n v="1"/>
    <n v="1"/>
    <n v="5"/>
    <n v="1"/>
    <n v="3"/>
    <n v="1"/>
    <n v="3"/>
    <n v="4"/>
    <n v="4"/>
    <n v="4"/>
    <n v="3"/>
    <n v="4"/>
    <n v="2"/>
    <n v="3"/>
    <n v="3"/>
    <n v="1"/>
    <n v="2"/>
    <n v="5"/>
    <n v="5"/>
    <n v="4"/>
    <n v="1"/>
    <n v="4"/>
    <n v="1"/>
    <n v="5"/>
    <n v="4"/>
    <n v="1"/>
    <n v="1"/>
    <n v="4"/>
    <n v="4"/>
    <n v="4"/>
    <n v="2"/>
    <n v="2"/>
    <n v="1"/>
    <n v="4"/>
    <n v="1"/>
    <n v="2"/>
    <n v="1"/>
    <n v="5"/>
    <n v="3"/>
    <n v="2"/>
    <n v="2"/>
    <n v="2"/>
    <n v="4"/>
    <n v="2"/>
    <n v="1"/>
    <n v="1"/>
    <n v="4"/>
    <n v="1"/>
    <n v="2"/>
    <n v="4"/>
    <n v="2"/>
    <n v="1"/>
    <n v="5"/>
    <n v="1"/>
    <n v="1"/>
    <n v="3"/>
    <n v="1"/>
    <n v="1"/>
    <n v="1"/>
    <n v="2"/>
    <n v="4"/>
    <n v="2"/>
    <n v="3"/>
    <n v="1"/>
    <n v="1"/>
    <n v="1"/>
    <n v="5"/>
    <n v="3"/>
    <n v="2"/>
    <n v="2"/>
    <n v="2"/>
    <n v="1"/>
    <n v="4"/>
    <n v="4"/>
    <n v="2"/>
    <n v="1"/>
    <n v="5"/>
    <n v="1"/>
    <n v="1"/>
    <n v="2"/>
    <n v="2"/>
    <n v="5"/>
    <n v="5"/>
    <n v="1"/>
    <n v="2"/>
    <n v="1"/>
    <n v="3.75"/>
    <n v="4"/>
    <n v="4"/>
    <x v="5"/>
    <n v="4"/>
    <x v="8"/>
    <n v="1.75"/>
    <x v="5"/>
    <n v="1.25"/>
    <n v="3.5"/>
    <n v="2.75"/>
    <n v="1"/>
    <x v="9"/>
    <n v="2.75"/>
    <n v="3.75"/>
    <n v="3.25"/>
    <x v="10"/>
    <x v="1"/>
    <n v="2.75"/>
    <n v="4.75"/>
    <n v="3.5"/>
    <x v="11"/>
    <n v="3.25"/>
    <n v="3.5"/>
    <n v="4"/>
    <n v="4.75"/>
    <n v="4"/>
    <n v="4.25"/>
    <x v="7"/>
    <n v="4.5"/>
  </r>
  <r>
    <n v="33"/>
    <d v="2023-06-21T13:16:23"/>
    <d v="2023-06-21T13:18:48"/>
    <s v="Consinto em participar no questionário e que os dados recolhidos sejam utilizados para os fins acima referidos."/>
    <s v="22"/>
    <s v="Masculino"/>
    <s v="Solteiro(a)"/>
    <s v="Não"/>
    <s v="Ensino secundário"/>
    <s v="Engenharia e Tecnologia"/>
    <s v="Trabalhador(a) por conta de outrem"/>
    <s v="Técnico de TI"/>
    <s v="Uma vez por semana"/>
    <s v="Computador (portátil, desktop...);Consolas portáteis (Nintendo switch, PSP, Wii U, etc..);Outra;"/>
    <s v="Acção;Aventura;Batalha/luta;Estratégia;Simulação;Multiplayer;Fantasia;Plataforma;RPG/MMORPG;Puzzles;"/>
    <n v="0"/>
    <n v="1"/>
    <n v="7.8616329999999994"/>
    <n v="0.6"/>
    <m/>
    <m/>
    <m/>
    <m/>
    <n v="0"/>
    <n v="0"/>
    <n v="10.100485000000001"/>
    <n v="0"/>
    <n v="1"/>
    <n v="1"/>
    <n v="23.997190999999997"/>
    <n v="1.05"/>
    <n v="0"/>
    <n v="1"/>
    <n v="4.1659189999999997"/>
    <n v="0"/>
    <n v="0"/>
    <m/>
    <m/>
    <n v="27"/>
    <n v="0.875"/>
    <n v="42.204900000000002"/>
    <n v="30.000000000000004"/>
    <m/>
    <m/>
    <m/>
    <m/>
    <n v="0"/>
    <m/>
    <m/>
    <m/>
    <m/>
    <m/>
    <m/>
    <n v="0"/>
    <n v="1"/>
    <n v="5.6409589999999996"/>
    <n v="0"/>
    <n v="0"/>
    <m/>
    <m/>
    <m/>
    <m/>
    <m/>
    <m/>
    <n v="0"/>
    <n v="1"/>
    <n v="12.24741"/>
    <n v="0"/>
    <m/>
    <m/>
    <m/>
    <m/>
    <n v="0"/>
    <n v="1"/>
    <n v="18.424671999999997"/>
    <n v="0"/>
    <n v="0"/>
    <m/>
    <m/>
    <m/>
    <m/>
    <m/>
    <m/>
    <n v="0"/>
    <n v="1"/>
    <n v="16.719731499999998"/>
    <n v="3.2500000000000001E-2"/>
    <n v="1"/>
    <n v="1"/>
    <n v="0.83333333333333337"/>
    <x v="4"/>
    <n v="2"/>
    <n v="1"/>
    <n v="0.2"/>
    <n v="0"/>
    <n v="1"/>
    <n v="1"/>
    <n v="1"/>
    <n v="3"/>
    <n v="368"/>
    <n v="1400"/>
    <n v="3"/>
    <n v="0.10416666666666667"/>
    <n v="0.20909090909090908"/>
    <n v="0"/>
    <n v="100"/>
    <n v="230"/>
    <n v="0"/>
    <x v="0"/>
    <n v="0"/>
    <m/>
    <n v="4"/>
    <n v="3"/>
    <n v="5"/>
    <n v="3"/>
    <n v="4"/>
    <n v="2"/>
    <n v="3"/>
    <n v="5"/>
    <n v="3"/>
    <n v="1"/>
    <n v="3"/>
    <n v="4"/>
    <n v="5"/>
    <n v="4"/>
    <n v="3"/>
    <n v="4"/>
    <n v="3"/>
    <n v="4"/>
    <n v="3"/>
    <n v="4"/>
    <n v="5"/>
    <n v="5"/>
    <n v="5"/>
    <n v="2"/>
    <n v="2"/>
    <n v="4"/>
    <n v="3"/>
    <n v="4"/>
    <n v="4"/>
    <n v="3"/>
    <n v="4"/>
    <n v="3"/>
    <n v="3"/>
    <n v="4"/>
    <n v="3"/>
    <n v="3"/>
    <n v="4"/>
    <n v="5"/>
    <n v="3"/>
    <n v="5"/>
    <n v="1"/>
    <n v="4"/>
    <n v="4"/>
    <n v="4"/>
    <n v="3"/>
    <n v="4"/>
    <n v="4"/>
    <n v="4"/>
    <n v="3"/>
    <n v="4"/>
    <n v="2"/>
    <n v="5"/>
    <n v="1"/>
    <n v="5"/>
    <n v="3"/>
    <n v="2"/>
    <n v="5"/>
    <n v="5"/>
    <n v="4"/>
    <n v="5"/>
    <n v="4"/>
    <n v="3"/>
    <n v="4"/>
    <n v="4"/>
    <n v="3"/>
    <n v="3"/>
    <n v="4"/>
    <n v="3"/>
    <n v="4"/>
    <n v="3"/>
    <n v="5"/>
    <n v="2"/>
    <n v="4"/>
    <n v="4"/>
    <n v="2"/>
    <n v="3"/>
    <n v="3"/>
    <n v="4"/>
    <n v="3"/>
    <n v="1"/>
    <n v="3"/>
    <n v="4"/>
    <n v="4"/>
    <n v="3"/>
    <n v="5"/>
    <n v="4"/>
    <n v="3"/>
    <n v="5"/>
    <n v="1"/>
    <n v="3"/>
    <n v="4"/>
    <n v="3"/>
    <n v="3"/>
    <n v="4"/>
    <n v="3"/>
    <n v="3"/>
    <n v="3"/>
    <n v="4"/>
    <n v="1"/>
    <n v="1"/>
    <n v="1"/>
    <n v="1"/>
    <n v="2"/>
    <n v="1"/>
    <n v="1"/>
    <n v="2"/>
    <n v="2"/>
    <n v="3"/>
    <n v="2"/>
    <n v="1"/>
    <n v="2"/>
    <n v="3"/>
    <n v="4"/>
    <n v="1"/>
    <n v="4"/>
    <n v="3"/>
    <n v="2"/>
    <n v="5"/>
    <n v="2"/>
    <n v="2"/>
    <n v="4"/>
    <n v="3.25"/>
    <n v="2"/>
    <n v="3.25"/>
    <x v="8"/>
    <n v="2.5"/>
    <x v="0"/>
    <n v="3.75"/>
    <x v="2"/>
    <n v="2.75"/>
    <n v="3.75"/>
    <n v="3.5"/>
    <n v="3.25"/>
    <x v="2"/>
    <n v="2.75"/>
    <n v="4"/>
    <n v="3.5"/>
    <x v="11"/>
    <x v="3"/>
    <n v="4"/>
    <n v="4.5"/>
    <n v="4"/>
    <x v="5"/>
    <n v="4.5"/>
    <n v="4.5"/>
    <n v="3.5"/>
    <n v="3.5"/>
    <n v="4.25"/>
    <n v="4"/>
    <x v="4"/>
    <n v="3.75"/>
  </r>
  <r>
    <n v="34"/>
    <d v="2023-06-21T13:58:50"/>
    <d v="2023-06-21T13:59:52"/>
    <s v="Consinto em participar no questionário e que os dados recolhidos sejam utilizados para os fins acima referidos."/>
    <s v="27"/>
    <s v="Masculino"/>
    <s v="Solteiro(a)"/>
    <s v="Não"/>
    <s v="Bacharelato (2-3 anos)"/>
    <s v="Ciências naturais"/>
    <s v="Trabalhador(a) por conta de outrem"/>
    <s v="Técnico superior de ambiente"/>
    <s v="Algumas vezes por semana"/>
    <s v="Computador (portátil, desktop...);"/>
    <s v="RPG/MMORPG;Plataforma;Multiplayer;Estratégia;Batalha/luta;"/>
    <m/>
    <m/>
    <m/>
    <m/>
    <m/>
    <m/>
    <m/>
    <m/>
    <m/>
    <m/>
    <m/>
    <m/>
    <n v="3"/>
    <n v="1"/>
    <n v="5.1393420000000001"/>
    <n v="3.1500000000000004"/>
    <n v="0"/>
    <n v="1"/>
    <n v="22.96219"/>
    <n v="0"/>
    <n v="1"/>
    <n v="1"/>
    <n v="0.6"/>
    <n v="3"/>
    <n v="0.875"/>
    <n v="25.523658000000001"/>
    <n v="3.3000000000000003"/>
    <m/>
    <m/>
    <m/>
    <m/>
    <n v="0"/>
    <m/>
    <m/>
    <m/>
    <m/>
    <m/>
    <m/>
    <n v="0"/>
    <n v="1"/>
    <n v="5.2804799999999998"/>
    <n v="0"/>
    <n v="0"/>
    <m/>
    <m/>
    <m/>
    <m/>
    <m/>
    <m/>
    <n v="0"/>
    <n v="1"/>
    <n v="9.4230370000000008"/>
    <n v="0"/>
    <m/>
    <m/>
    <m/>
    <m/>
    <n v="0"/>
    <n v="1"/>
    <n v="15.398218"/>
    <n v="0"/>
    <n v="0"/>
    <m/>
    <m/>
    <m/>
    <m/>
    <m/>
    <m/>
    <n v="0"/>
    <n v="1"/>
    <n v="13.370111000000001"/>
    <n v="0.02"/>
    <n v="0"/>
    <m/>
    <m/>
    <x v="1"/>
    <n v="2"/>
    <n v="1"/>
    <n v="0.2"/>
    <n v="0"/>
    <n v="0"/>
    <n v="1"/>
    <n v="1"/>
    <n v="2"/>
    <n v="368"/>
    <n v="1300"/>
    <n v="2"/>
    <n v="1"/>
    <n v="1"/>
    <n v="3"/>
    <n v="284"/>
    <n v="1400"/>
    <n v="3"/>
    <x v="0"/>
    <n v="0"/>
    <m/>
    <n v="4"/>
    <n v="3"/>
    <n v="3"/>
    <n v="4"/>
    <n v="4"/>
    <n v="4"/>
    <n v="2"/>
    <n v="4"/>
    <n v="3"/>
    <n v="5"/>
    <n v="2"/>
    <n v="3"/>
    <n v="2"/>
    <n v="5"/>
    <n v="4"/>
    <n v="3"/>
    <n v="2"/>
    <n v="5"/>
    <n v="4"/>
    <n v="4"/>
    <n v="4"/>
    <n v="2"/>
    <n v="4"/>
    <n v="1"/>
    <n v="3"/>
    <n v="2"/>
    <n v="1"/>
    <n v="4"/>
    <n v="3"/>
    <n v="1"/>
    <n v="2"/>
    <n v="3"/>
    <n v="4"/>
    <n v="3"/>
    <n v="3"/>
    <n v="4"/>
    <n v="2"/>
    <n v="1"/>
    <n v="1"/>
    <n v="2"/>
    <n v="1"/>
    <n v="5"/>
    <n v="5"/>
    <n v="5"/>
    <n v="4"/>
    <n v="5"/>
    <n v="2"/>
    <n v="5"/>
    <n v="2"/>
    <n v="3"/>
    <n v="3"/>
    <n v="2"/>
    <n v="1"/>
    <n v="4"/>
    <n v="4"/>
    <n v="2"/>
    <n v="5"/>
    <n v="3"/>
    <n v="3"/>
    <n v="4"/>
    <n v="2"/>
    <n v="3"/>
    <n v="2"/>
    <n v="4"/>
    <n v="3"/>
    <n v="4"/>
    <n v="3"/>
    <n v="4"/>
    <n v="4"/>
    <n v="2"/>
    <n v="4"/>
    <n v="2"/>
    <n v="4"/>
    <n v="2"/>
    <n v="1"/>
    <n v="2"/>
    <n v="3"/>
    <n v="4"/>
    <n v="3"/>
    <n v="2"/>
    <n v="3"/>
    <n v="2"/>
    <n v="3"/>
    <n v="3"/>
    <n v="4"/>
    <n v="3"/>
    <n v="2"/>
    <n v="5"/>
    <n v="1"/>
    <n v="2"/>
    <n v="2"/>
    <n v="4"/>
    <n v="2"/>
    <n v="3"/>
    <n v="2"/>
    <n v="3"/>
    <n v="1"/>
    <n v="3"/>
    <n v="1"/>
    <n v="1"/>
    <n v="1"/>
    <n v="5"/>
    <n v="2"/>
    <n v="3"/>
    <n v="3"/>
    <n v="1"/>
    <n v="2"/>
    <n v="5"/>
    <n v="4"/>
    <n v="1"/>
    <n v="2"/>
    <n v="5"/>
    <n v="2"/>
    <n v="1"/>
    <n v="1"/>
    <n v="3"/>
    <n v="3"/>
    <n v="5"/>
    <n v="3"/>
    <n v="3"/>
    <n v="1"/>
    <n v="3.25"/>
    <n v="4"/>
    <n v="4.25"/>
    <x v="7"/>
    <n v="3.25"/>
    <x v="2"/>
    <n v="3"/>
    <x v="7"/>
    <n v="1.5"/>
    <n v="3.75"/>
    <n v="3"/>
    <n v="2.25"/>
    <x v="9"/>
    <n v="2.5"/>
    <n v="4"/>
    <n v="2.25"/>
    <x v="3"/>
    <x v="2"/>
    <n v="3"/>
    <n v="3"/>
    <n v="3.5"/>
    <x v="7"/>
    <n v="4.25"/>
    <n v="3.75"/>
    <n v="3.75"/>
    <n v="4.25"/>
    <n v="4.5"/>
    <n v="3.75"/>
    <x v="2"/>
    <n v="3.25"/>
  </r>
  <r>
    <n v="35"/>
    <d v="2023-06-21T15:02:18"/>
    <d v="2023-06-21T15:07:27"/>
    <s v="Consinto em participar no questionário e que os dados recolhidos sejam utilizados para os fins acima referidos."/>
    <s v="55"/>
    <s v="Feminino"/>
    <s v="Num relacionamento (casamento, união de facto, etc.)"/>
    <s v="Sim"/>
    <s v="Licenciatura (3-5 anos)"/>
    <s v="Ciências exatas"/>
    <s v="Trabalhador(a) por conta de outrem"/>
    <s v="Assistente Operacional "/>
    <s v="Nunca"/>
    <s v="Não costumo jogar;"/>
    <s v="Fantasia;"/>
    <m/>
    <m/>
    <m/>
    <m/>
    <m/>
    <m/>
    <m/>
    <m/>
    <m/>
    <m/>
    <m/>
    <m/>
    <m/>
    <m/>
    <m/>
    <m/>
    <n v="0"/>
    <n v="1"/>
    <n v="11.289387000000001"/>
    <n v="0"/>
    <n v="1"/>
    <n v="0"/>
    <n v="1"/>
    <n v="2"/>
    <n v="0.875"/>
    <n v="22.536137"/>
    <n v="2.2000000000000002"/>
    <m/>
    <m/>
    <m/>
    <m/>
    <n v="0"/>
    <m/>
    <m/>
    <n v="0"/>
    <n v="0.75"/>
    <n v="7.5828429999999996"/>
    <n v="0.495"/>
    <m/>
    <m/>
    <m/>
    <m/>
    <n v="0"/>
    <m/>
    <m/>
    <m/>
    <m/>
    <m/>
    <m/>
    <n v="0"/>
    <n v="1"/>
    <n v="9.9564689999999985"/>
    <n v="0"/>
    <m/>
    <m/>
    <m/>
    <m/>
    <n v="0"/>
    <n v="1"/>
    <n v="7.6869959999999997"/>
    <n v="0"/>
    <n v="0"/>
    <m/>
    <m/>
    <m/>
    <m/>
    <m/>
    <m/>
    <n v="0"/>
    <n v="1"/>
    <n v="16.591798999999998"/>
    <n v="0.04"/>
    <n v="1"/>
    <n v="0"/>
    <n v="1"/>
    <x v="1"/>
    <n v="0"/>
    <n v="2"/>
    <n v="0.4"/>
    <n v="0"/>
    <n v="0"/>
    <n v="0.35416666666666669"/>
    <n v="0.48181818181818181"/>
    <n v="1"/>
    <n v="233"/>
    <n v="630"/>
    <n v="1"/>
    <m/>
    <m/>
    <m/>
    <m/>
    <m/>
    <m/>
    <x v="1"/>
    <n v="0"/>
    <m/>
    <n v="5"/>
    <n v="4"/>
    <n v="4"/>
    <n v="4"/>
    <n v="5"/>
    <n v="3"/>
    <n v="2"/>
    <n v="4"/>
    <n v="1"/>
    <n v="5"/>
    <n v="2"/>
    <n v="4"/>
    <n v="4"/>
    <n v="4"/>
    <n v="5"/>
    <n v="4"/>
    <n v="2"/>
    <n v="2"/>
    <n v="2"/>
    <n v="4"/>
    <n v="2"/>
    <n v="4"/>
    <n v="4"/>
    <n v="1"/>
    <n v="3"/>
    <n v="2"/>
    <n v="5"/>
    <n v="3"/>
    <n v="4"/>
    <n v="2"/>
    <n v="2"/>
    <n v="3"/>
    <n v="4"/>
    <n v="4"/>
    <n v="4"/>
    <n v="2"/>
    <n v="2"/>
    <n v="3"/>
    <n v="1"/>
    <n v="1"/>
    <n v="2"/>
    <n v="2"/>
    <n v="4"/>
    <n v="4"/>
    <n v="5"/>
    <n v="2"/>
    <n v="5"/>
    <n v="4"/>
    <n v="2"/>
    <n v="4"/>
    <n v="4"/>
    <n v="3"/>
    <n v="2"/>
    <n v="2"/>
    <n v="4"/>
    <n v="2"/>
    <n v="4"/>
    <n v="4"/>
    <n v="4"/>
    <n v="2"/>
    <n v="2"/>
    <n v="2"/>
    <n v="4"/>
    <n v="4"/>
    <n v="4"/>
    <n v="2"/>
    <n v="4"/>
    <n v="2"/>
    <n v="4"/>
    <n v="2"/>
    <n v="1"/>
    <n v="2"/>
    <n v="4"/>
    <n v="2"/>
    <n v="2"/>
    <n v="1"/>
    <n v="4"/>
    <n v="3"/>
    <n v="4"/>
    <n v="1"/>
    <n v="2"/>
    <n v="4"/>
    <n v="2"/>
    <n v="2"/>
    <n v="3"/>
    <n v="3"/>
    <n v="2"/>
    <n v="5"/>
    <n v="3"/>
    <n v="2"/>
    <n v="2"/>
    <n v="2"/>
    <n v="2"/>
    <n v="2"/>
    <n v="2"/>
    <n v="3"/>
    <n v="4"/>
    <n v="4"/>
    <n v="2"/>
    <n v="2"/>
    <n v="2"/>
    <n v="4"/>
    <n v="3"/>
    <n v="2"/>
    <n v="2"/>
    <n v="1"/>
    <n v="2"/>
    <n v="4"/>
    <n v="3"/>
    <n v="1"/>
    <n v="1"/>
    <n v="4"/>
    <n v="1"/>
    <n v="4"/>
    <n v="2"/>
    <n v="2"/>
    <n v="4"/>
    <n v="4"/>
    <n v="3"/>
    <n v="2"/>
    <n v="2"/>
    <n v="4"/>
    <n v="4.75"/>
    <n v="5"/>
    <x v="5"/>
    <n v="3.5"/>
    <x v="2"/>
    <n v="2.75"/>
    <x v="5"/>
    <n v="2"/>
    <n v="3.5"/>
    <n v="2"/>
    <n v="2"/>
    <x v="6"/>
    <n v="2"/>
    <n v="3.25"/>
    <n v="3"/>
    <x v="4"/>
    <x v="3"/>
    <n v="3.5"/>
    <n v="3.75"/>
    <n v="4"/>
    <x v="3"/>
    <n v="3.5"/>
    <n v="3.25"/>
    <n v="4"/>
    <n v="4.5"/>
    <n v="4"/>
    <n v="4.5"/>
    <x v="3"/>
    <n v="4"/>
  </r>
  <r>
    <n v="36"/>
    <d v="2023-06-21T15:09:36"/>
    <d v="2023-06-21T15:12:34"/>
    <s v="Consinto em participar no questionário e que os dados recolhidos sejam utilizados para os fins acima referidos."/>
    <s v="24"/>
    <s v="Feminino"/>
    <s v="Solteiro(a)"/>
    <s v="Não"/>
    <s v="Licenciatura (3-5 anos)"/>
    <s v="Outra"/>
    <s v="Trabalhador-estudante"/>
    <s v="Professora AEC"/>
    <s v="Uma vez por semana"/>
    <s v="Dispositivos móveis (telemóvel, tablet);"/>
    <s v="Nenhum;"/>
    <m/>
    <m/>
    <m/>
    <m/>
    <m/>
    <m/>
    <m/>
    <m/>
    <m/>
    <m/>
    <m/>
    <m/>
    <n v="1"/>
    <n v="0.2"/>
    <m/>
    <n v="1.05"/>
    <n v="0"/>
    <n v="1"/>
    <n v="3.9304270000000003"/>
    <n v="0"/>
    <n v="0"/>
    <m/>
    <m/>
    <n v="2"/>
    <n v="0.125"/>
    <m/>
    <n v="2.2000000000000002"/>
    <n v="0"/>
    <n v="1"/>
    <n v="7.937011"/>
    <n v="7.0000000000000007E-2"/>
    <n v="0"/>
    <m/>
    <m/>
    <m/>
    <m/>
    <m/>
    <m/>
    <n v="0"/>
    <n v="1"/>
    <n v="6.7657860000000003"/>
    <n v="0"/>
    <n v="0"/>
    <m/>
    <m/>
    <m/>
    <m/>
    <m/>
    <m/>
    <n v="0"/>
    <n v="1"/>
    <n v="9.596487999999999"/>
    <n v="0"/>
    <m/>
    <m/>
    <m/>
    <m/>
    <n v="0"/>
    <n v="1"/>
    <n v="18.471491"/>
    <n v="0"/>
    <n v="1"/>
    <n v="0"/>
    <n v="0.66666666666666663"/>
    <m/>
    <m/>
    <m/>
    <m/>
    <n v="0"/>
    <n v="1"/>
    <n v="12.641135"/>
    <n v="0.24249999999999999"/>
    <n v="0"/>
    <m/>
    <m/>
    <x v="1"/>
    <n v="0"/>
    <n v="1"/>
    <n v="0.2"/>
    <n v="0"/>
    <n v="0"/>
    <n v="6.25E-2"/>
    <n v="0.2"/>
    <n v="0"/>
    <n v="115"/>
    <n v="220"/>
    <n v="0"/>
    <m/>
    <m/>
    <m/>
    <m/>
    <m/>
    <m/>
    <x v="1"/>
    <n v="0"/>
    <m/>
    <n v="5"/>
    <n v="4"/>
    <n v="4"/>
    <n v="4"/>
    <n v="4"/>
    <n v="3"/>
    <n v="4"/>
    <n v="4"/>
    <n v="2"/>
    <n v="1"/>
    <n v="2"/>
    <n v="2"/>
    <n v="5"/>
    <n v="4"/>
    <n v="4"/>
    <n v="2"/>
    <n v="3"/>
    <n v="2"/>
    <n v="3"/>
    <n v="4"/>
    <n v="4"/>
    <n v="4"/>
    <n v="2"/>
    <n v="2"/>
    <n v="5"/>
    <n v="5"/>
    <n v="4"/>
    <n v="5"/>
    <n v="5"/>
    <n v="2"/>
    <n v="5"/>
    <n v="4"/>
    <n v="5"/>
    <n v="4"/>
    <n v="2"/>
    <n v="5"/>
    <n v="5"/>
    <n v="3"/>
    <n v="2"/>
    <n v="2"/>
    <n v="2"/>
    <n v="4"/>
    <n v="4"/>
    <n v="5"/>
    <n v="4"/>
    <n v="4"/>
    <n v="2"/>
    <n v="4"/>
    <n v="5"/>
    <n v="4"/>
    <n v="3"/>
    <n v="2"/>
    <n v="2"/>
    <n v="3"/>
    <n v="2"/>
    <n v="2"/>
    <n v="3"/>
    <n v="2"/>
    <n v="5"/>
    <n v="5"/>
    <n v="4"/>
    <n v="2"/>
    <n v="4"/>
    <n v="4"/>
    <n v="3"/>
    <n v="5"/>
    <n v="3"/>
    <n v="3"/>
    <n v="4"/>
    <n v="2"/>
    <n v="4"/>
    <n v="3"/>
    <n v="4"/>
    <n v="2"/>
    <n v="1"/>
    <n v="4"/>
    <n v="2"/>
    <n v="2"/>
    <n v="3"/>
    <n v="4"/>
    <n v="2"/>
    <n v="2"/>
    <n v="2"/>
    <n v="3"/>
    <n v="2"/>
    <n v="4"/>
    <n v="5"/>
    <n v="4"/>
    <n v="1"/>
    <n v="1"/>
    <n v="2"/>
    <n v="5"/>
    <n v="2"/>
    <n v="4"/>
    <n v="3"/>
    <n v="2"/>
    <n v="1"/>
    <n v="2"/>
    <n v="4"/>
    <n v="2"/>
    <n v="4"/>
    <n v="2"/>
    <n v="2"/>
    <n v="2"/>
    <n v="2"/>
    <n v="2"/>
    <n v="2"/>
    <n v="4"/>
    <n v="2"/>
    <n v="3"/>
    <n v="1"/>
    <n v="3"/>
    <n v="2"/>
    <n v="2"/>
    <n v="3"/>
    <n v="5"/>
    <n v="1"/>
    <n v="4"/>
    <n v="1"/>
    <n v="2"/>
    <n v="3"/>
    <n v="2.75"/>
    <n v="2.25"/>
    <n v="3.5"/>
    <x v="5"/>
    <n v="2.5"/>
    <x v="5"/>
    <n v="4.75"/>
    <x v="15"/>
    <n v="2.75"/>
    <n v="3"/>
    <n v="3.5"/>
    <n v="4.25"/>
    <x v="1"/>
    <n v="4"/>
    <n v="3.5"/>
    <n v="2.25"/>
    <x v="4"/>
    <x v="7"/>
    <n v="4.25"/>
    <n v="3"/>
    <n v="4.25"/>
    <x v="7"/>
    <n v="3.25"/>
    <n v="4.25"/>
    <n v="3.75"/>
    <n v="4"/>
    <n v="4.5"/>
    <n v="2.25"/>
    <x v="2"/>
    <n v="4.75"/>
  </r>
  <r>
    <n v="37"/>
    <d v="2023-06-21T15:24:53"/>
    <d v="2023-06-21T15:26:43"/>
    <s v="Consinto em participar no questionário e que os dados recolhidos sejam utilizados para os fins acima referidos."/>
    <s v="47"/>
    <s v="Feminino"/>
    <s v="Num relacionamento (casamento, união de facto, etc.)"/>
    <s v="Sim"/>
    <s v="Bacharelato (2-3 anos)"/>
    <s v="Humanidades"/>
    <s v="Trabalhador(a) por conta de outrem"/>
    <s v="Assistente Operacional "/>
    <s v="Nunca"/>
    <s v="Não costumo jogar;"/>
    <s v="Nenhum;"/>
    <m/>
    <m/>
    <m/>
    <m/>
    <m/>
    <m/>
    <m/>
    <m/>
    <m/>
    <m/>
    <m/>
    <m/>
    <m/>
    <m/>
    <m/>
    <m/>
    <n v="0"/>
    <n v="1"/>
    <n v="7.9780899999999999"/>
    <n v="0"/>
    <n v="1"/>
    <n v="1"/>
    <n v="1"/>
    <m/>
    <m/>
    <m/>
    <m/>
    <n v="0"/>
    <n v="0.66666666666666663"/>
    <n v="9.7825939999999996"/>
    <n v="0.19750000000000001"/>
    <n v="0"/>
    <m/>
    <m/>
    <m/>
    <m/>
    <m/>
    <m/>
    <n v="0"/>
    <n v="1"/>
    <n v="10.066395"/>
    <n v="0"/>
    <n v="0"/>
    <m/>
    <m/>
    <m/>
    <m/>
    <m/>
    <m/>
    <n v="0"/>
    <n v="1"/>
    <n v="9.5853520000000003"/>
    <n v="0"/>
    <m/>
    <m/>
    <m/>
    <m/>
    <n v="0"/>
    <n v="1"/>
    <n v="18.921346"/>
    <n v="0"/>
    <n v="1"/>
    <n v="0"/>
    <n v="1"/>
    <m/>
    <m/>
    <m/>
    <m/>
    <n v="0"/>
    <n v="1"/>
    <n v="14.208495000000001"/>
    <n v="0.04"/>
    <n v="0"/>
    <m/>
    <m/>
    <x v="0"/>
    <n v="0"/>
    <n v="2"/>
    <n v="0.4"/>
    <n v="0"/>
    <n v="0"/>
    <n v="0.5"/>
    <n v="0.74545454545454548"/>
    <n v="2"/>
    <n v="249"/>
    <n v="1020"/>
    <n v="2"/>
    <m/>
    <m/>
    <m/>
    <m/>
    <m/>
    <m/>
    <x v="1"/>
    <n v="0"/>
    <m/>
    <n v="5"/>
    <n v="4"/>
    <n v="5"/>
    <n v="2"/>
    <n v="5"/>
    <n v="1"/>
    <n v="2"/>
    <n v="5"/>
    <n v="1"/>
    <n v="5"/>
    <n v="2"/>
    <n v="5"/>
    <n v="5"/>
    <n v="5"/>
    <n v="5"/>
    <n v="2"/>
    <n v="4"/>
    <n v="4"/>
    <n v="2"/>
    <n v="5"/>
    <n v="2"/>
    <n v="5"/>
    <n v="5"/>
    <n v="2"/>
    <n v="5"/>
    <n v="2"/>
    <n v="5"/>
    <n v="2"/>
    <n v="5"/>
    <n v="2"/>
    <n v="4"/>
    <n v="4"/>
    <n v="5"/>
    <n v="4"/>
    <n v="5"/>
    <n v="2"/>
    <n v="4"/>
    <n v="4"/>
    <n v="1"/>
    <n v="1"/>
    <n v="1"/>
    <n v="4"/>
    <n v="4"/>
    <n v="5"/>
    <n v="5"/>
    <n v="2"/>
    <n v="5"/>
    <n v="4"/>
    <n v="1"/>
    <n v="5"/>
    <n v="4"/>
    <n v="4"/>
    <n v="2"/>
    <n v="2"/>
    <n v="5"/>
    <n v="2"/>
    <n v="4"/>
    <n v="4"/>
    <n v="5"/>
    <n v="2"/>
    <n v="4"/>
    <n v="1"/>
    <n v="2"/>
    <n v="3"/>
    <n v="2"/>
    <n v="2"/>
    <n v="1"/>
    <n v="3"/>
    <n v="4"/>
    <n v="2"/>
    <n v="1"/>
    <n v="2"/>
    <n v="4"/>
    <n v="3"/>
    <n v="1"/>
    <n v="1"/>
    <n v="2"/>
    <n v="4"/>
    <n v="4"/>
    <n v="1"/>
    <n v="1"/>
    <n v="2"/>
    <n v="4"/>
    <n v="2"/>
    <n v="2"/>
    <n v="3"/>
    <n v="1"/>
    <n v="5"/>
    <n v="3"/>
    <n v="2"/>
    <n v="1"/>
    <n v="2"/>
    <n v="2"/>
    <n v="2"/>
    <n v="3"/>
    <n v="5"/>
    <n v="2"/>
    <n v="2"/>
    <n v="3"/>
    <n v="1"/>
    <n v="1"/>
    <n v="5"/>
    <n v="2"/>
    <n v="1"/>
    <n v="2"/>
    <n v="1"/>
    <n v="1"/>
    <n v="4"/>
    <n v="4"/>
    <n v="2"/>
    <n v="1"/>
    <n v="4"/>
    <n v="1"/>
    <n v="3"/>
    <n v="2"/>
    <n v="1"/>
    <n v="4"/>
    <n v="4"/>
    <n v="4"/>
    <n v="1"/>
    <n v="2"/>
    <n v="4.25"/>
    <n v="5"/>
    <n v="5"/>
    <x v="9"/>
    <n v="4.5"/>
    <x v="10"/>
    <n v="3.75"/>
    <x v="5"/>
    <n v="1.5"/>
    <n v="2.75"/>
    <n v="2.5"/>
    <n v="1.75"/>
    <x v="7"/>
    <n v="3.75"/>
    <n v="4.25"/>
    <n v="3.75"/>
    <x v="8"/>
    <x v="3"/>
    <n v="3.5"/>
    <n v="3.75"/>
    <n v="4.25"/>
    <x v="8"/>
    <n v="4"/>
    <n v="2.75"/>
    <n v="3"/>
    <n v="4.75"/>
    <n v="4.75"/>
    <n v="4.5"/>
    <x v="3"/>
    <n v="4.75"/>
  </r>
  <r>
    <n v="38"/>
    <d v="2023-06-21T15:39:55"/>
    <d v="2023-06-21T15:41:53"/>
    <s v="Consinto em participar no questionário e que os dados recolhidos sejam utilizados para os fins acima referidos."/>
    <s v="41"/>
    <s v="Feminino"/>
    <s v="Num relacionamento (casamento, união de facto, etc.)"/>
    <s v="Sim"/>
    <s v="Licenciatura (3-5 anos)"/>
    <s v="Humanidades"/>
    <s v="Trabalhador(a) por conta de outrem"/>
    <s v="Professora"/>
    <s v="Algumas vezes por semana"/>
    <s v="Dispositivos móveis (telemóvel, tablet);"/>
    <s v="Puzzles;RPG/MMORPG;"/>
    <m/>
    <m/>
    <m/>
    <m/>
    <m/>
    <m/>
    <m/>
    <m/>
    <m/>
    <m/>
    <m/>
    <m/>
    <m/>
    <m/>
    <m/>
    <m/>
    <n v="0"/>
    <n v="1"/>
    <n v="26.919237000000003"/>
    <n v="0"/>
    <n v="0"/>
    <m/>
    <m/>
    <m/>
    <m/>
    <m/>
    <m/>
    <n v="0"/>
    <n v="1"/>
    <n v="9.3201720000000012"/>
    <n v="0"/>
    <n v="0"/>
    <m/>
    <m/>
    <m/>
    <m/>
    <m/>
    <m/>
    <n v="0"/>
    <n v="1"/>
    <n v="8.0769289999999998"/>
    <n v="0"/>
    <n v="0"/>
    <m/>
    <m/>
    <m/>
    <m/>
    <m/>
    <m/>
    <n v="0"/>
    <n v="1"/>
    <n v="22.164414000000001"/>
    <n v="0"/>
    <m/>
    <m/>
    <m/>
    <m/>
    <n v="0"/>
    <n v="1"/>
    <n v="11.422302999999999"/>
    <n v="0"/>
    <n v="0"/>
    <m/>
    <m/>
    <m/>
    <m/>
    <m/>
    <m/>
    <n v="0"/>
    <n v="1"/>
    <n v="21.071578000000002"/>
    <n v="0.28000000000000003"/>
    <n v="0"/>
    <m/>
    <m/>
    <x v="0"/>
    <n v="0"/>
    <n v="0"/>
    <n v="0"/>
    <n v="0"/>
    <n v="0"/>
    <n v="0.14583333333333334"/>
    <n v="0.57272727272727275"/>
    <n v="1"/>
    <n v="200"/>
    <n v="730"/>
    <n v="1"/>
    <m/>
    <m/>
    <m/>
    <m/>
    <m/>
    <m/>
    <x v="1"/>
    <n v="0"/>
    <m/>
    <n v="5"/>
    <n v="4"/>
    <n v="4"/>
    <n v="3"/>
    <n v="4"/>
    <n v="2"/>
    <n v="2"/>
    <n v="4"/>
    <n v="1"/>
    <n v="3"/>
    <n v="2"/>
    <n v="5"/>
    <n v="4"/>
    <n v="4"/>
    <n v="4"/>
    <n v="2"/>
    <n v="2"/>
    <n v="4"/>
    <n v="1"/>
    <n v="4"/>
    <n v="3"/>
    <n v="2"/>
    <n v="4"/>
    <n v="1"/>
    <n v="2"/>
    <n v="3"/>
    <n v="2"/>
    <n v="2"/>
    <n v="3"/>
    <n v="2"/>
    <n v="4"/>
    <n v="3"/>
    <n v="4"/>
    <n v="3"/>
    <n v="1"/>
    <n v="2"/>
    <n v="2"/>
    <n v="4"/>
    <n v="1"/>
    <n v="3"/>
    <n v="2"/>
    <n v="3"/>
    <n v="4"/>
    <n v="4"/>
    <n v="3"/>
    <n v="4"/>
    <n v="2"/>
    <n v="3"/>
    <n v="4"/>
    <n v="2"/>
    <n v="3"/>
    <n v="3"/>
    <n v="4"/>
    <n v="2"/>
    <n v="3"/>
    <n v="2"/>
    <n v="4"/>
    <n v="4"/>
    <n v="4"/>
    <n v="3"/>
    <n v="4"/>
    <n v="2"/>
    <n v="2"/>
    <n v="3"/>
    <n v="2"/>
    <n v="4"/>
    <n v="2"/>
    <n v="2"/>
    <n v="4"/>
    <n v="2"/>
    <n v="3"/>
    <n v="2"/>
    <n v="4"/>
    <n v="2"/>
    <n v="2"/>
    <n v="1"/>
    <n v="2"/>
    <n v="3"/>
    <n v="4"/>
    <n v="1"/>
    <n v="2"/>
    <n v="2"/>
    <n v="2"/>
    <n v="3"/>
    <n v="2"/>
    <n v="3"/>
    <n v="3"/>
    <n v="4"/>
    <n v="2"/>
    <n v="2"/>
    <n v="2"/>
    <n v="3"/>
    <n v="2"/>
    <n v="2"/>
    <n v="4"/>
    <n v="2"/>
    <n v="4"/>
    <n v="2"/>
    <n v="2"/>
    <n v="2"/>
    <n v="2"/>
    <n v="4"/>
    <n v="3"/>
    <n v="2"/>
    <n v="2"/>
    <n v="2"/>
    <n v="2"/>
    <n v="4"/>
    <n v="4"/>
    <n v="2"/>
    <n v="2"/>
    <n v="4"/>
    <n v="1"/>
    <n v="4"/>
    <n v="2"/>
    <n v="2"/>
    <n v="2"/>
    <n v="4"/>
    <n v="3"/>
    <n v="2"/>
    <n v="3"/>
    <n v="2.25"/>
    <n v="3.25"/>
    <n v="4"/>
    <x v="7"/>
    <n v="3"/>
    <x v="4"/>
    <n v="4"/>
    <x v="1"/>
    <n v="2"/>
    <n v="3"/>
    <n v="3"/>
    <n v="3"/>
    <x v="6"/>
    <n v="3"/>
    <n v="3.75"/>
    <n v="2.25"/>
    <x v="9"/>
    <x v="8"/>
    <n v="3"/>
    <n v="4"/>
    <n v="4"/>
    <x v="7"/>
    <n v="2.75"/>
    <n v="3.25"/>
    <n v="2.75"/>
    <n v="4.5"/>
    <n v="4"/>
    <n v="4"/>
    <x v="10"/>
    <n v="3.75"/>
  </r>
  <r>
    <n v="39"/>
    <d v="2023-06-21T15:43:35"/>
    <d v="2023-06-21T15:44:46"/>
    <s v="Consinto em participar no questionário e que os dados recolhidos sejam utilizados para os fins acima referidos."/>
    <s v="48"/>
    <s v="Feminino"/>
    <s v="Num relacionamento (casamento, união de facto, etc.)"/>
    <s v="Sim"/>
    <s v="Licenciatura (3-5 anos)"/>
    <s v="Humanidades"/>
    <s v="Trabalhador(a) por conta de outrem"/>
    <s v="Professora "/>
    <s v="Já joguei, mas de momento não jogo"/>
    <s v="Computador (portátil, desktop...);Dispositivos móveis (telemóvel, tablet);"/>
    <s v="Aventura;"/>
    <m/>
    <m/>
    <m/>
    <m/>
    <m/>
    <m/>
    <m/>
    <m/>
    <m/>
    <m/>
    <m/>
    <m/>
    <n v="0"/>
    <n v="1"/>
    <n v="5.3374540000000001"/>
    <n v="0"/>
    <m/>
    <m/>
    <m/>
    <m/>
    <n v="1"/>
    <n v="0"/>
    <n v="1"/>
    <m/>
    <m/>
    <m/>
    <m/>
    <n v="0"/>
    <n v="1"/>
    <n v="6.4634139999999993"/>
    <n v="3.2500000000000001E-2"/>
    <n v="0"/>
    <m/>
    <m/>
    <m/>
    <m/>
    <m/>
    <m/>
    <n v="0"/>
    <n v="1"/>
    <n v="5.2628829999999995"/>
    <n v="0"/>
    <n v="0"/>
    <m/>
    <m/>
    <m/>
    <m/>
    <m/>
    <m/>
    <n v="0"/>
    <n v="1"/>
    <n v="9.4288359999999987"/>
    <n v="0"/>
    <n v="0"/>
    <n v="1"/>
    <n v="9.3428400000000007"/>
    <n v="0"/>
    <m/>
    <m/>
    <m/>
    <m/>
    <n v="0"/>
    <m/>
    <m/>
    <m/>
    <m/>
    <m/>
    <m/>
    <n v="0"/>
    <n v="1"/>
    <n v="16.893883500000001"/>
    <n v="3.2500000000000001E-2"/>
    <n v="1"/>
    <n v="1"/>
    <n v="1"/>
    <x v="1"/>
    <n v="0"/>
    <n v="2"/>
    <n v="0.4"/>
    <n v="0"/>
    <n v="0"/>
    <n v="0.4375"/>
    <n v="0.47272727272727272"/>
    <n v="0"/>
    <n v="233"/>
    <n v="520"/>
    <n v="0"/>
    <m/>
    <m/>
    <m/>
    <m/>
    <m/>
    <m/>
    <x v="1"/>
    <n v="0"/>
    <m/>
    <n v="5"/>
    <n v="3"/>
    <n v="4"/>
    <n v="3"/>
    <n v="4"/>
    <n v="4"/>
    <n v="2"/>
    <n v="4"/>
    <n v="2"/>
    <n v="4"/>
    <n v="4"/>
    <n v="4"/>
    <n v="4"/>
    <n v="4"/>
    <n v="4"/>
    <n v="4"/>
    <n v="4"/>
    <n v="2"/>
    <n v="2"/>
    <n v="4"/>
    <n v="4"/>
    <n v="4"/>
    <n v="4"/>
    <n v="1"/>
    <n v="1"/>
    <n v="4"/>
    <n v="2"/>
    <n v="2"/>
    <n v="3"/>
    <n v="2"/>
    <n v="4"/>
    <n v="4"/>
    <n v="2"/>
    <n v="3"/>
    <n v="2"/>
    <n v="4"/>
    <n v="2"/>
    <n v="3"/>
    <n v="1"/>
    <n v="4"/>
    <n v="4"/>
    <n v="1"/>
    <n v="4"/>
    <n v="4"/>
    <n v="4"/>
    <n v="4"/>
    <n v="4"/>
    <n v="4"/>
    <n v="4"/>
    <n v="4"/>
    <n v="2"/>
    <n v="2"/>
    <n v="2"/>
    <n v="2"/>
    <n v="2"/>
    <n v="4"/>
    <n v="2"/>
    <n v="4"/>
    <n v="4"/>
    <n v="3"/>
    <n v="4"/>
    <n v="2"/>
    <n v="2"/>
    <n v="4"/>
    <n v="2"/>
    <n v="4"/>
    <n v="3"/>
    <n v="2"/>
    <n v="4"/>
    <n v="2"/>
    <n v="2"/>
    <n v="4"/>
    <n v="2"/>
    <n v="2"/>
    <n v="2"/>
    <n v="2"/>
    <n v="2"/>
    <n v="2"/>
    <n v="4"/>
    <n v="2"/>
    <n v="2"/>
    <n v="2"/>
    <n v="2"/>
    <n v="4"/>
    <n v="2"/>
    <n v="2"/>
    <n v="3"/>
    <n v="4"/>
    <n v="3"/>
    <n v="2"/>
    <n v="2"/>
    <n v="4"/>
    <n v="2"/>
    <n v="2"/>
    <n v="2"/>
    <n v="2"/>
    <n v="2"/>
    <n v="4"/>
    <n v="2"/>
    <n v="2"/>
    <n v="4"/>
    <n v="2"/>
    <n v="2"/>
    <n v="2"/>
    <n v="2"/>
    <n v="2"/>
    <n v="2"/>
    <n v="4"/>
    <n v="4"/>
    <n v="2"/>
    <n v="2"/>
    <n v="2"/>
    <n v="2"/>
    <n v="2"/>
    <n v="2"/>
    <n v="2"/>
    <n v="2"/>
    <n v="3"/>
    <n v="2"/>
    <n v="2"/>
    <n v="2"/>
    <n v="2.5"/>
    <n v="3"/>
    <n v="4"/>
    <x v="1"/>
    <n v="2.75"/>
    <x v="8"/>
    <n v="4.25"/>
    <x v="9"/>
    <n v="4"/>
    <n v="3.5"/>
    <n v="4"/>
    <n v="3.75"/>
    <x v="6"/>
    <n v="2.25"/>
    <n v="2.75"/>
    <n v="3"/>
    <x v="4"/>
    <x v="0"/>
    <n v="2.5"/>
    <n v="3.75"/>
    <n v="4"/>
    <x v="14"/>
    <n v="3.5"/>
    <n v="3.25"/>
    <n v="3.5"/>
    <n v="4.25"/>
    <n v="4"/>
    <n v="3.5"/>
    <x v="10"/>
    <n v="3.75"/>
  </r>
  <r>
    <n v="40"/>
    <d v="2023-06-21T15:44:12"/>
    <d v="2023-06-21T15:46:57"/>
    <s v="Consinto em participar no questionário e que os dados recolhidos sejam utilizados para os fins acima referidos."/>
    <s v="48"/>
    <s v="Feminino"/>
    <s v="Num relacionamento (casamento, união de facto, etc.)"/>
    <s v="Sim"/>
    <s v="Licenciatura (3-5 anos)"/>
    <s v="Humanidades"/>
    <s v="Trabalhador(a) por conta de outrem"/>
    <s v="Professora"/>
    <s v="Uma vez por semana"/>
    <s v="Dispositivos móveis (telemóvel, tablet);"/>
    <s v="Puzzles;Estratégia;"/>
    <m/>
    <m/>
    <m/>
    <m/>
    <m/>
    <m/>
    <m/>
    <m/>
    <m/>
    <m/>
    <m/>
    <m/>
    <n v="0"/>
    <n v="0"/>
    <m/>
    <n v="2.1"/>
    <n v="0"/>
    <n v="1"/>
    <n v="89.868381999999997"/>
    <n v="0"/>
    <n v="0"/>
    <m/>
    <m/>
    <m/>
    <m/>
    <m/>
    <m/>
    <n v="0"/>
    <n v="1"/>
    <n v="11.740062"/>
    <n v="0"/>
    <n v="0"/>
    <m/>
    <m/>
    <m/>
    <m/>
    <m/>
    <m/>
    <n v="0"/>
    <n v="1"/>
    <n v="10.609914"/>
    <n v="0"/>
    <n v="0"/>
    <m/>
    <m/>
    <m/>
    <m/>
    <m/>
    <m/>
    <n v="0"/>
    <n v="1"/>
    <n v="9.3930939999999996"/>
    <n v="0"/>
    <n v="0"/>
    <n v="1"/>
    <n v="10.038535"/>
    <n v="0"/>
    <m/>
    <m/>
    <m/>
    <m/>
    <n v="0"/>
    <m/>
    <m/>
    <m/>
    <m/>
    <m/>
    <m/>
    <n v="0"/>
    <n v="1"/>
    <n v="14.048228"/>
    <n v="2.5000000000000001E-2"/>
    <n v="1"/>
    <n v="0"/>
    <n v="1"/>
    <x v="1"/>
    <n v="0"/>
    <n v="1"/>
    <n v="0.2"/>
    <n v="0"/>
    <n v="0"/>
    <n v="2.0833333333333332E-2"/>
    <n v="0.23636363636363636"/>
    <n v="0"/>
    <n v="217"/>
    <n v="260"/>
    <n v="0"/>
    <m/>
    <m/>
    <m/>
    <m/>
    <m/>
    <m/>
    <x v="1"/>
    <n v="0"/>
    <m/>
    <n v="5"/>
    <n v="5"/>
    <n v="4"/>
    <n v="4"/>
    <n v="5"/>
    <n v="4"/>
    <n v="2"/>
    <n v="5"/>
    <n v="1"/>
    <n v="4"/>
    <n v="2"/>
    <n v="5"/>
    <n v="4"/>
    <n v="5"/>
    <n v="4"/>
    <n v="1"/>
    <n v="4"/>
    <n v="4"/>
    <n v="1"/>
    <n v="5"/>
    <n v="2"/>
    <n v="4"/>
    <n v="4"/>
    <n v="1"/>
    <n v="2"/>
    <n v="2"/>
    <n v="3"/>
    <n v="4"/>
    <n v="4"/>
    <n v="2"/>
    <n v="4"/>
    <n v="4"/>
    <n v="2"/>
    <n v="4"/>
    <n v="4"/>
    <n v="4"/>
    <n v="2"/>
    <n v="3"/>
    <n v="1"/>
    <n v="2"/>
    <n v="2"/>
    <n v="2"/>
    <n v="4"/>
    <n v="5"/>
    <n v="5"/>
    <n v="4"/>
    <n v="5"/>
    <n v="4"/>
    <n v="2"/>
    <n v="5"/>
    <n v="4"/>
    <n v="4"/>
    <n v="4"/>
    <n v="3"/>
    <n v="4"/>
    <n v="2"/>
    <n v="4"/>
    <n v="2"/>
    <n v="4"/>
    <n v="2"/>
    <n v="4"/>
    <n v="1"/>
    <n v="3"/>
    <n v="4"/>
    <n v="4"/>
    <n v="4"/>
    <n v="1"/>
    <n v="1"/>
    <n v="4"/>
    <n v="1"/>
    <n v="1"/>
    <n v="2"/>
    <n v="4"/>
    <n v="2"/>
    <n v="1"/>
    <n v="1"/>
    <n v="1"/>
    <n v="2"/>
    <n v="2"/>
    <n v="1"/>
    <n v="2"/>
    <n v="2"/>
    <n v="2"/>
    <n v="2"/>
    <n v="2"/>
    <n v="2"/>
    <n v="2"/>
    <n v="5"/>
    <n v="2"/>
    <n v="1"/>
    <n v="1"/>
    <n v="4"/>
    <n v="2"/>
    <n v="3"/>
    <n v="2"/>
    <n v="3"/>
    <n v="2"/>
    <n v="2"/>
    <n v="1"/>
    <n v="1"/>
    <n v="2"/>
    <n v="4"/>
    <n v="3"/>
    <n v="1"/>
    <n v="1"/>
    <n v="2"/>
    <n v="1"/>
    <n v="4"/>
    <n v="3"/>
    <n v="1"/>
    <n v="1"/>
    <n v="4"/>
    <n v="1"/>
    <n v="2"/>
    <n v="4"/>
    <n v="2"/>
    <n v="2"/>
    <n v="4"/>
    <n v="5"/>
    <n v="1"/>
    <n v="1"/>
    <n v="4"/>
    <n v="4.25"/>
    <n v="4.5"/>
    <x v="6"/>
    <n v="3.5"/>
    <x v="3"/>
    <n v="4.25"/>
    <x v="9"/>
    <n v="2"/>
    <n v="2.75"/>
    <n v="2.5"/>
    <n v="2.5"/>
    <x v="5"/>
    <n v="3.25"/>
    <n v="3.5"/>
    <n v="3.25"/>
    <x v="2"/>
    <x v="2"/>
    <n v="3"/>
    <n v="4.5"/>
    <n v="4.25"/>
    <x v="5"/>
    <n v="3.5"/>
    <n v="2.75"/>
    <n v="4"/>
    <n v="5"/>
    <n v="5"/>
    <n v="4.75"/>
    <x v="2"/>
    <n v="4.5"/>
  </r>
  <r>
    <n v="41"/>
    <d v="2023-06-21T15:48:38"/>
    <d v="2023-06-21T15:51:37"/>
    <s v="Consinto em participar no questionário e que os dados recolhidos sejam utilizados para os fins acima referidos."/>
    <s v="57"/>
    <s v="Feminino"/>
    <s v="Num relacionamento (casamento, união de facto, etc.)"/>
    <s v="Sim"/>
    <s v="Licenciatura (3-5 anos)"/>
    <s v="Humanidades"/>
    <s v="Trabalhador(a) por conta de outrem"/>
    <s v="Educadora de infância "/>
    <s v="Algumas vezes por semana"/>
    <s v="Dispositivos móveis (telemóvel, tablet);"/>
    <s v="Estratégia;"/>
    <m/>
    <m/>
    <m/>
    <m/>
    <n v="1"/>
    <n v="0"/>
    <n v="2.526195"/>
    <n v="0"/>
    <n v="0"/>
    <n v="0"/>
    <n v="12.579108"/>
    <n v="0"/>
    <m/>
    <m/>
    <m/>
    <m/>
    <n v="0"/>
    <n v="1"/>
    <n v="6.7798990000000003"/>
    <n v="0"/>
    <n v="0"/>
    <m/>
    <m/>
    <m/>
    <m/>
    <m/>
    <m/>
    <n v="0"/>
    <n v="1"/>
    <n v="15.630945000000001"/>
    <n v="0"/>
    <n v="0"/>
    <m/>
    <m/>
    <m/>
    <m/>
    <m/>
    <m/>
    <n v="0"/>
    <n v="1"/>
    <n v="12.243784"/>
    <n v="0"/>
    <n v="0"/>
    <m/>
    <m/>
    <m/>
    <m/>
    <m/>
    <m/>
    <n v="0"/>
    <n v="1"/>
    <n v="9.4377790000000008"/>
    <n v="0"/>
    <n v="0"/>
    <n v="1"/>
    <n v="11.482717000000001"/>
    <n v="0"/>
    <m/>
    <m/>
    <m/>
    <m/>
    <n v="0"/>
    <m/>
    <m/>
    <m/>
    <m/>
    <m/>
    <m/>
    <n v="0"/>
    <n v="1"/>
    <n v="15.850305000000001"/>
    <n v="4.7500000000000001E-2"/>
    <n v="0"/>
    <m/>
    <m/>
    <x v="1"/>
    <n v="0"/>
    <n v="0"/>
    <n v="0"/>
    <n v="0"/>
    <n v="1"/>
    <n v="0.375"/>
    <n v="0.7"/>
    <n v="1"/>
    <n v="250"/>
    <n v="870"/>
    <n v="1"/>
    <m/>
    <m/>
    <m/>
    <m/>
    <m/>
    <m/>
    <x v="1"/>
    <n v="0"/>
    <m/>
    <n v="4"/>
    <n v="5"/>
    <n v="4"/>
    <n v="4"/>
    <n v="4"/>
    <n v="4"/>
    <n v="2"/>
    <n v="5"/>
    <n v="2"/>
    <n v="4"/>
    <n v="2"/>
    <n v="4"/>
    <n v="4"/>
    <n v="5"/>
    <n v="5"/>
    <n v="2"/>
    <n v="2"/>
    <n v="4"/>
    <n v="1"/>
    <n v="4"/>
    <n v="2"/>
    <n v="4"/>
    <n v="4"/>
    <n v="1"/>
    <n v="4"/>
    <n v="2"/>
    <n v="3"/>
    <n v="1"/>
    <n v="5"/>
    <n v="4"/>
    <n v="2"/>
    <n v="4"/>
    <n v="4"/>
    <n v="2"/>
    <n v="2"/>
    <n v="3"/>
    <n v="4"/>
    <n v="2"/>
    <n v="1"/>
    <n v="4"/>
    <n v="2"/>
    <n v="2"/>
    <n v="4"/>
    <n v="5"/>
    <n v="5"/>
    <n v="2"/>
    <n v="2"/>
    <n v="2"/>
    <n v="2"/>
    <n v="2"/>
    <n v="2"/>
    <n v="2"/>
    <n v="4"/>
    <n v="3"/>
    <n v="2"/>
    <n v="2"/>
    <n v="4"/>
    <n v="5"/>
    <n v="5"/>
    <n v="4"/>
    <n v="2"/>
    <n v="2"/>
    <n v="4"/>
    <n v="2"/>
    <n v="2"/>
    <n v="4"/>
    <n v="2"/>
    <n v="1"/>
    <n v="4"/>
    <n v="1"/>
    <n v="2"/>
    <n v="2"/>
    <n v="3"/>
    <n v="2"/>
    <n v="1"/>
    <n v="2"/>
    <n v="3"/>
    <n v="2"/>
    <n v="2"/>
    <n v="1"/>
    <n v="1"/>
    <n v="2"/>
    <n v="2"/>
    <n v="2"/>
    <n v="2"/>
    <n v="2"/>
    <n v="1"/>
    <n v="5"/>
    <n v="1"/>
    <n v="1"/>
    <n v="4"/>
    <n v="2"/>
    <n v="2"/>
    <n v="4"/>
    <n v="2"/>
    <n v="2"/>
    <n v="2"/>
    <n v="2"/>
    <n v="1"/>
    <n v="1"/>
    <n v="4"/>
    <n v="4"/>
    <n v="2"/>
    <n v="1"/>
    <n v="2"/>
    <n v="1"/>
    <n v="1"/>
    <n v="4"/>
    <n v="2"/>
    <n v="1"/>
    <n v="1"/>
    <n v="4"/>
    <n v="1"/>
    <n v="4"/>
    <n v="1"/>
    <n v="2"/>
    <n v="2"/>
    <n v="4"/>
    <n v="2"/>
    <n v="1"/>
    <n v="2"/>
    <n v="2.5"/>
    <n v="3"/>
    <n v="4.75"/>
    <x v="1"/>
    <n v="3.5"/>
    <x v="12"/>
    <n v="2.5"/>
    <x v="12"/>
    <n v="2"/>
    <n v="3"/>
    <n v="3"/>
    <n v="2.25"/>
    <x v="7"/>
    <n v="3.5"/>
    <n v="3.25"/>
    <n v="2"/>
    <x v="3"/>
    <x v="2"/>
    <n v="4"/>
    <n v="4.25"/>
    <n v="4.25"/>
    <x v="1"/>
    <n v="3"/>
    <n v="3.75"/>
    <n v="3"/>
    <n v="4.75"/>
    <n v="4.75"/>
    <n v="4.75"/>
    <x v="10"/>
    <n v="5"/>
  </r>
  <r>
    <n v="42"/>
    <d v="2023-06-21T16:06:46"/>
    <d v="2023-06-21T16:09:23"/>
    <s v="Consinto em participar no questionário e que os dados recolhidos sejam utilizados para os fins acima referidos."/>
    <s v="58"/>
    <s v="Feminino"/>
    <s v="Num relacionamento (casamento, união de facto, etc.)"/>
    <s v="Sim"/>
    <s v="Licenciatura (3-5 anos)"/>
    <s v="Outra"/>
    <s v="Trabalhador(a) por conta de outrem"/>
    <s v="Professora "/>
    <s v="Nunca"/>
    <s v="Não costumo jogar;"/>
    <s v="Nenhum;"/>
    <m/>
    <m/>
    <m/>
    <m/>
    <m/>
    <m/>
    <m/>
    <m/>
    <m/>
    <m/>
    <m/>
    <m/>
    <n v="3"/>
    <n v="0.2"/>
    <m/>
    <n v="3.1500000000000004"/>
    <n v="0"/>
    <n v="1"/>
    <n v="13.746846999999999"/>
    <n v="0"/>
    <m/>
    <m/>
    <m/>
    <m/>
    <m/>
    <m/>
    <m/>
    <n v="0"/>
    <n v="1"/>
    <n v="13.102069"/>
    <n v="0"/>
    <n v="0"/>
    <m/>
    <m/>
    <n v="0"/>
    <n v="0.75"/>
    <n v="10.507346999999999"/>
    <n v="0.61249999999999805"/>
    <m/>
    <m/>
    <m/>
    <m/>
    <n v="1"/>
    <n v="0"/>
    <n v="1"/>
    <m/>
    <m/>
    <m/>
    <m/>
    <n v="0"/>
    <n v="1"/>
    <n v="9.9851949999999992"/>
    <n v="0"/>
    <m/>
    <m/>
    <m/>
    <m/>
    <n v="0"/>
    <n v="1"/>
    <n v="7.7542049999999998"/>
    <n v="0"/>
    <n v="0"/>
    <m/>
    <m/>
    <m/>
    <m/>
    <m/>
    <m/>
    <n v="0"/>
    <n v="1"/>
    <n v="13.484214"/>
    <n v="5.0000000000000001E-3"/>
    <n v="1"/>
    <n v="0"/>
    <n v="1"/>
    <x v="1"/>
    <n v="1"/>
    <n v="2"/>
    <n v="0.4"/>
    <n v="0"/>
    <n v="0"/>
    <n v="0.64583333333333337"/>
    <n v="0.81818181818181823"/>
    <n v="1"/>
    <n v="317"/>
    <n v="1000"/>
    <n v="1"/>
    <m/>
    <m/>
    <m/>
    <m/>
    <m/>
    <m/>
    <x v="1"/>
    <n v="0"/>
    <m/>
    <n v="4"/>
    <n v="4"/>
    <n v="3"/>
    <n v="3"/>
    <n v="4"/>
    <n v="2"/>
    <n v="4"/>
    <n v="4"/>
    <n v="1"/>
    <n v="4"/>
    <n v="4"/>
    <n v="4"/>
    <n v="4"/>
    <n v="5"/>
    <n v="5"/>
    <n v="2"/>
    <n v="4"/>
    <n v="4"/>
    <n v="1"/>
    <n v="4"/>
    <n v="1"/>
    <n v="4"/>
    <n v="3"/>
    <n v="1"/>
    <n v="2"/>
    <n v="3"/>
    <n v="2"/>
    <n v="2"/>
    <n v="3"/>
    <n v="3"/>
    <n v="4"/>
    <n v="4"/>
    <n v="4"/>
    <n v="3"/>
    <n v="3"/>
    <n v="4"/>
    <n v="1"/>
    <n v="4"/>
    <n v="1"/>
    <n v="3"/>
    <n v="2"/>
    <n v="2"/>
    <n v="4"/>
    <n v="5"/>
    <n v="5"/>
    <n v="3"/>
    <n v="4"/>
    <n v="3"/>
    <n v="3"/>
    <n v="3"/>
    <n v="5"/>
    <n v="4"/>
    <n v="5"/>
    <n v="4"/>
    <n v="4"/>
    <n v="2"/>
    <n v="4"/>
    <n v="2"/>
    <n v="1"/>
    <n v="2"/>
    <n v="4"/>
    <n v="1"/>
    <n v="4"/>
    <n v="3"/>
    <n v="3"/>
    <n v="4"/>
    <n v="2"/>
    <n v="1"/>
    <n v="4"/>
    <n v="1"/>
    <n v="2"/>
    <n v="3"/>
    <n v="2"/>
    <n v="2"/>
    <n v="1"/>
    <n v="1"/>
    <n v="3"/>
    <n v="4"/>
    <n v="3"/>
    <n v="1"/>
    <n v="2"/>
    <n v="4"/>
    <n v="1"/>
    <n v="2"/>
    <n v="2"/>
    <n v="2"/>
    <n v="2"/>
    <n v="5"/>
    <n v="3"/>
    <n v="2"/>
    <n v="1"/>
    <n v="4"/>
    <n v="2"/>
    <n v="4"/>
    <n v="3"/>
    <n v="4"/>
    <n v="2"/>
    <n v="5"/>
    <n v="2"/>
    <n v="2"/>
    <n v="2"/>
    <n v="4"/>
    <n v="4"/>
    <n v="1"/>
    <n v="1"/>
    <n v="1"/>
    <n v="1"/>
    <n v="5"/>
    <n v="2"/>
    <n v="1"/>
    <n v="1"/>
    <n v="5"/>
    <n v="1"/>
    <n v="5"/>
    <n v="1"/>
    <n v="3"/>
    <n v="1"/>
    <n v="4"/>
    <n v="4"/>
    <n v="1"/>
    <n v="1"/>
    <n v="3.5"/>
    <n v="3.75"/>
    <n v="5"/>
    <x v="1"/>
    <n v="3.25"/>
    <x v="10"/>
    <n v="4"/>
    <x v="4"/>
    <n v="2.75"/>
    <n v="3.25"/>
    <n v="1.25"/>
    <n v="3"/>
    <x v="7"/>
    <n v="2.5"/>
    <n v="2.5"/>
    <n v="3.25"/>
    <x v="4"/>
    <x v="7"/>
    <n v="3.75"/>
    <n v="4.25"/>
    <n v="4.25"/>
    <x v="11"/>
    <n v="2.25"/>
    <n v="2.25"/>
    <n v="3"/>
    <n v="4.75"/>
    <n v="5"/>
    <n v="4.5"/>
    <x v="3"/>
    <n v="3.25"/>
  </r>
  <r>
    <n v="43"/>
    <d v="2023-06-21T16:17:52"/>
    <d v="2023-06-21T16:20:40"/>
    <s v="Consinto em participar no questionário e que os dados recolhidos sejam utilizados para os fins acima referidos."/>
    <s v="47"/>
    <s v="Feminino"/>
    <s v="Divorciado(a)/Separado(a)"/>
    <s v="Sim"/>
    <s v="Mestrado"/>
    <s v="Ciências exatas"/>
    <s v="Trabalhador(a) por conta de outrem"/>
    <s v="Professora"/>
    <s v="Nunca"/>
    <s v="Não costumo jogar;"/>
    <s v="Nenhum;"/>
    <m/>
    <m/>
    <m/>
    <m/>
    <m/>
    <m/>
    <m/>
    <m/>
    <m/>
    <m/>
    <m/>
    <m/>
    <m/>
    <m/>
    <m/>
    <m/>
    <n v="0"/>
    <n v="1"/>
    <n v="28"/>
    <n v="0"/>
    <n v="0"/>
    <m/>
    <m/>
    <m/>
    <m/>
    <m/>
    <m/>
    <n v="0"/>
    <n v="1"/>
    <n v="15.975249666666665"/>
    <n v="0"/>
    <n v="3"/>
    <n v="3"/>
    <n v="0"/>
    <m/>
    <m/>
    <m/>
    <m/>
    <n v="0"/>
    <n v="1"/>
    <n v="30"/>
    <n v="0"/>
    <n v="0"/>
    <m/>
    <m/>
    <n v="0"/>
    <n v="1"/>
    <n v="50"/>
    <n v="0.75"/>
    <m/>
    <m/>
    <m/>
    <m/>
    <m/>
    <m/>
    <m/>
    <m/>
    <n v="0"/>
    <n v="1"/>
    <n v="14"/>
    <n v="0"/>
    <n v="1"/>
    <n v="1"/>
    <n v="0"/>
    <m/>
    <m/>
    <m/>
    <m/>
    <n v="0"/>
    <n v="1"/>
    <n v="15.11017"/>
    <n v="3.5000000000000003E-2"/>
    <n v="0"/>
    <m/>
    <m/>
    <x v="2"/>
    <n v="0"/>
    <n v="2"/>
    <n v="0.4"/>
    <n v="1"/>
    <n v="0"/>
    <n v="0.66666666666666663"/>
    <n v="0.86363636363636365"/>
    <n v="1"/>
    <n v="418"/>
    <n v="945"/>
    <n v="1"/>
    <m/>
    <m/>
    <m/>
    <m/>
    <m/>
    <m/>
    <x v="1"/>
    <n v="0"/>
    <s v="Estimamos tempos ww"/>
    <n v="4"/>
    <n v="4"/>
    <n v="4"/>
    <n v="3"/>
    <n v="4"/>
    <n v="2"/>
    <n v="2"/>
    <n v="4"/>
    <n v="3"/>
    <n v="2"/>
    <n v="2"/>
    <n v="3"/>
    <n v="2"/>
    <n v="4"/>
    <n v="4"/>
    <n v="3"/>
    <n v="4"/>
    <n v="2"/>
    <n v="1"/>
    <n v="4"/>
    <n v="2"/>
    <n v="4"/>
    <n v="4"/>
    <n v="4"/>
    <n v="2"/>
    <n v="2"/>
    <n v="3"/>
    <n v="2"/>
    <n v="4"/>
    <n v="2"/>
    <n v="3"/>
    <n v="4"/>
    <n v="2"/>
    <n v="4"/>
    <n v="4"/>
    <n v="2"/>
    <n v="3"/>
    <n v="4"/>
    <n v="2"/>
    <n v="2"/>
    <n v="1"/>
    <n v="4"/>
    <n v="3"/>
    <n v="4"/>
    <n v="4"/>
    <n v="3"/>
    <n v="4"/>
    <n v="4"/>
    <n v="2"/>
    <n v="4"/>
    <n v="2"/>
    <n v="3"/>
    <n v="4"/>
    <n v="4"/>
    <n v="4"/>
    <n v="3"/>
    <n v="3"/>
    <n v="4"/>
    <n v="4"/>
    <n v="2"/>
    <n v="2"/>
    <n v="2"/>
    <n v="2"/>
    <n v="3"/>
    <n v="4"/>
    <n v="2"/>
    <n v="4"/>
    <n v="2"/>
    <n v="4"/>
    <n v="2"/>
    <n v="2"/>
    <n v="2"/>
    <n v="4"/>
    <n v="2"/>
    <n v="2"/>
    <n v="3"/>
    <n v="1"/>
    <n v="2"/>
    <n v="4"/>
    <n v="1"/>
    <n v="1"/>
    <n v="4"/>
    <n v="2"/>
    <n v="2"/>
    <n v="4"/>
    <n v="1"/>
    <n v="2"/>
    <n v="5"/>
    <n v="2"/>
    <n v="2"/>
    <n v="2"/>
    <n v="2"/>
    <n v="2"/>
    <n v="4"/>
    <n v="3"/>
    <n v="3"/>
    <n v="4"/>
    <n v="4"/>
    <n v="2"/>
    <n v="2"/>
    <n v="2"/>
    <n v="4"/>
    <n v="3"/>
    <n v="2"/>
    <n v="2"/>
    <n v="2"/>
    <n v="2"/>
    <n v="5"/>
    <n v="2"/>
    <n v="2"/>
    <n v="2"/>
    <n v="4"/>
    <n v="2"/>
    <n v="4"/>
    <n v="3"/>
    <n v="2"/>
    <n v="2"/>
    <n v="4"/>
    <n v="4"/>
    <n v="2"/>
    <n v="1"/>
    <n v="3.75"/>
    <n v="3.5"/>
    <n v="3.75"/>
    <x v="5"/>
    <n v="3.75"/>
    <x v="10"/>
    <n v="2.75"/>
    <x v="0"/>
    <n v="1.75"/>
    <n v="2.75"/>
    <n v="2.5"/>
    <n v="2.75"/>
    <x v="1"/>
    <n v="2.25"/>
    <n v="3.5"/>
    <n v="2.75"/>
    <x v="2"/>
    <x v="7"/>
    <n v="3"/>
    <n v="4"/>
    <n v="3.25"/>
    <x v="8"/>
    <n v="3"/>
    <n v="3"/>
    <n v="3.25"/>
    <n v="3.75"/>
    <n v="4"/>
    <n v="4.5"/>
    <x v="8"/>
    <n v="4"/>
  </r>
  <r>
    <n v="45"/>
    <d v="2023-06-21T16:41:37"/>
    <d v="2023-06-21T16:42:55"/>
    <s v="Consinto em participar no questionário e que os dados recolhidos sejam utilizados para os fins acima referidos."/>
    <s v="36"/>
    <s v="Masculino"/>
    <s v="Num relacionamento (casamento, união de facto, etc.)"/>
    <s v="Sim"/>
    <s v="Outro"/>
    <s v="Ciências sociais"/>
    <s v="Trabalhador(a) por conta de outrem"/>
    <s v="Assistente Operacional"/>
    <s v="Já joguei, mas de momento não jogo"/>
    <s v="Computador (portátil, desktop...);Consolas fixas (XBox, Playstation...);Dispositivos móveis (telemóvel, tablet);"/>
    <s v="Aventura;Acção;"/>
    <m/>
    <m/>
    <m/>
    <m/>
    <m/>
    <m/>
    <m/>
    <m/>
    <m/>
    <m/>
    <m/>
    <m/>
    <m/>
    <m/>
    <m/>
    <m/>
    <n v="0"/>
    <n v="1"/>
    <n v="59.991446000000003"/>
    <n v="0"/>
    <n v="0"/>
    <m/>
    <m/>
    <m/>
    <m/>
    <m/>
    <m/>
    <n v="0"/>
    <n v="1"/>
    <n v="10.824463"/>
    <n v="0.315"/>
    <n v="0"/>
    <m/>
    <m/>
    <m/>
    <m/>
    <m/>
    <m/>
    <n v="0"/>
    <n v="1"/>
    <n v="7.3232179999999998"/>
    <n v="0"/>
    <n v="1"/>
    <n v="0"/>
    <n v="1"/>
    <n v="0"/>
    <n v="0.6"/>
    <n v="68.335658999999993"/>
    <n v="0"/>
    <m/>
    <m/>
    <m/>
    <m/>
    <n v="0"/>
    <n v="1"/>
    <n v="18.759543000000001"/>
    <n v="0"/>
    <m/>
    <m/>
    <m/>
    <m/>
    <n v="0"/>
    <m/>
    <m/>
    <n v="9"/>
    <n v="0"/>
    <m/>
    <n v="9.4500000000000011"/>
    <n v="0"/>
    <n v="1"/>
    <n v="13.404341000000001"/>
    <n v="3.5000000000000003E-2"/>
    <n v="0"/>
    <m/>
    <m/>
    <x v="3"/>
    <n v="1"/>
    <n v="1"/>
    <n v="0.2"/>
    <n v="0"/>
    <n v="0"/>
    <n v="0.29166666666666669"/>
    <n v="0.42727272727272725"/>
    <n v="0"/>
    <n v="148"/>
    <n v="470"/>
    <n v="0"/>
    <m/>
    <m/>
    <m/>
    <m/>
    <m/>
    <m/>
    <x v="1"/>
    <n v="0"/>
    <m/>
    <n v="4"/>
    <n v="4"/>
    <n v="4"/>
    <n v="3"/>
    <n v="4"/>
    <n v="3"/>
    <n v="4"/>
    <n v="4"/>
    <n v="3"/>
    <n v="4"/>
    <n v="2"/>
    <n v="4"/>
    <n v="3"/>
    <n v="4"/>
    <n v="4"/>
    <n v="3"/>
    <n v="3"/>
    <n v="3"/>
    <n v="2"/>
    <n v="4"/>
    <n v="3"/>
    <n v="2"/>
    <n v="2"/>
    <n v="3"/>
    <n v="4"/>
    <n v="3"/>
    <n v="4"/>
    <n v="2"/>
    <n v="3"/>
    <n v="3"/>
    <n v="3"/>
    <n v="3"/>
    <n v="2"/>
    <n v="3"/>
    <n v="3"/>
    <n v="3"/>
    <n v="3"/>
    <n v="3"/>
    <n v="3"/>
    <n v="3"/>
    <n v="1"/>
    <n v="2"/>
    <n v="2"/>
    <n v="3"/>
    <n v="4"/>
    <n v="3"/>
    <n v="4"/>
    <n v="3"/>
    <n v="1"/>
    <n v="4"/>
    <n v="3"/>
    <n v="4"/>
    <n v="2"/>
    <n v="4"/>
    <n v="4"/>
    <n v="4"/>
    <n v="4"/>
    <n v="3"/>
    <n v="2"/>
    <n v="3"/>
    <n v="2"/>
    <n v="3"/>
    <n v="4"/>
    <n v="3"/>
    <n v="4"/>
    <n v="2"/>
    <n v="3"/>
    <n v="3"/>
    <n v="4"/>
    <n v="2"/>
    <n v="2"/>
    <n v="2"/>
    <n v="2"/>
    <n v="3"/>
    <n v="2"/>
    <n v="2"/>
    <n v="3"/>
    <n v="4"/>
    <n v="2"/>
    <n v="1"/>
    <n v="3"/>
    <n v="3"/>
    <n v="4"/>
    <n v="2"/>
    <n v="4"/>
    <n v="2"/>
    <n v="3"/>
    <n v="4"/>
    <n v="2"/>
    <n v="3"/>
    <n v="3"/>
    <n v="2"/>
    <n v="2"/>
    <n v="2"/>
    <n v="3"/>
    <n v="2"/>
    <n v="3"/>
    <n v="3"/>
    <n v="2"/>
    <n v="3"/>
    <n v="2"/>
    <n v="5"/>
    <n v="3"/>
    <n v="3"/>
    <n v="3"/>
    <n v="2"/>
    <n v="2"/>
    <n v="4"/>
    <n v="2"/>
    <n v="1"/>
    <n v="2"/>
    <n v="4"/>
    <n v="2"/>
    <n v="2"/>
    <n v="3"/>
    <n v="2"/>
    <n v="4"/>
    <n v="5"/>
    <n v="2"/>
    <n v="2"/>
    <n v="3"/>
    <n v="3.25"/>
    <n v="3.75"/>
    <n v="4"/>
    <x v="8"/>
    <n v="4"/>
    <x v="5"/>
    <n v="2.75"/>
    <x v="2"/>
    <n v="1.5"/>
    <n v="3.25"/>
    <n v="2.75"/>
    <n v="3"/>
    <x v="4"/>
    <n v="3.25"/>
    <n v="2.75"/>
    <n v="3.25"/>
    <x v="7"/>
    <x v="1"/>
    <n v="3"/>
    <n v="3.5"/>
    <n v="2.75"/>
    <x v="11"/>
    <n v="3.5"/>
    <n v="3.25"/>
    <n v="3"/>
    <n v="3.25"/>
    <n v="3.5"/>
    <n v="4.75"/>
    <x v="9"/>
    <n v="3"/>
  </r>
  <r>
    <n v="46"/>
    <d v="2023-06-21T18:39:23"/>
    <d v="2023-06-21T18:40:40"/>
    <s v="Consinto em participar no questionário e que os dados recolhidos sejam utilizados para os fins acima referidos."/>
    <s v="40"/>
    <s v="Masculino"/>
    <s v="Divorciado(a)/Separado(a)"/>
    <s v="Sim"/>
    <s v="Doutoramento"/>
    <s v="Engenharia e Tecnologia"/>
    <s v="Trabalhador(a) por conta de outrem"/>
    <s v="Docente Ens. Superior "/>
    <s v="Já joguei, mas de momento não jogo"/>
    <s v="Não costumo jogar;"/>
    <s v="Nenhum;"/>
    <m/>
    <m/>
    <m/>
    <m/>
    <m/>
    <m/>
    <m/>
    <m/>
    <m/>
    <m/>
    <m/>
    <m/>
    <n v="4"/>
    <n v="0.6"/>
    <m/>
    <n v="4.2"/>
    <n v="0"/>
    <n v="1"/>
    <n v="8.0372579999999996"/>
    <n v="0"/>
    <n v="0"/>
    <m/>
    <m/>
    <m/>
    <m/>
    <m/>
    <m/>
    <n v="0"/>
    <n v="1"/>
    <n v="34.329773000000003"/>
    <n v="0.1"/>
    <n v="0"/>
    <m/>
    <m/>
    <n v="1"/>
    <n v="1"/>
    <n v="8.1135819999999992"/>
    <n v="1.0425"/>
    <m/>
    <m/>
    <m/>
    <m/>
    <n v="3"/>
    <n v="2"/>
    <n v="1"/>
    <m/>
    <m/>
    <m/>
    <m/>
    <n v="0"/>
    <n v="1"/>
    <n v="9.4103539999999999"/>
    <n v="0"/>
    <m/>
    <m/>
    <m/>
    <m/>
    <n v="0"/>
    <n v="1"/>
    <n v="7.6853190000000007"/>
    <n v="0"/>
    <n v="0"/>
    <m/>
    <m/>
    <m/>
    <m/>
    <m/>
    <m/>
    <n v="0"/>
    <n v="1"/>
    <n v="12.710843000000001"/>
    <n v="0.02"/>
    <n v="1"/>
    <n v="0"/>
    <n v="1"/>
    <x v="1"/>
    <n v="1"/>
    <n v="2"/>
    <n v="0.4"/>
    <n v="1"/>
    <n v="0"/>
    <n v="0.41666666666666669"/>
    <n v="0.73636363636363633"/>
    <n v="2"/>
    <n v="284"/>
    <n v="1010"/>
    <n v="2"/>
    <m/>
    <m/>
    <m/>
    <m/>
    <m/>
    <m/>
    <x v="1"/>
    <n v="0"/>
    <m/>
    <n v="5"/>
    <n v="4"/>
    <n v="4"/>
    <n v="4"/>
    <n v="4"/>
    <n v="3"/>
    <n v="4"/>
    <n v="4"/>
    <n v="1"/>
    <n v="3"/>
    <n v="2"/>
    <n v="5"/>
    <n v="4"/>
    <n v="5"/>
    <n v="5"/>
    <n v="2"/>
    <n v="3"/>
    <n v="4"/>
    <n v="1"/>
    <n v="4"/>
    <n v="3"/>
    <n v="4"/>
    <n v="4"/>
    <n v="1"/>
    <n v="4"/>
    <n v="1"/>
    <n v="4"/>
    <n v="1"/>
    <n v="5"/>
    <n v="2"/>
    <n v="2"/>
    <n v="4"/>
    <n v="4"/>
    <n v="3"/>
    <n v="4"/>
    <n v="1"/>
    <n v="3"/>
    <n v="4"/>
    <n v="1"/>
    <n v="1"/>
    <n v="1"/>
    <n v="5"/>
    <n v="5"/>
    <n v="5"/>
    <n v="5"/>
    <n v="2"/>
    <n v="4"/>
    <n v="2"/>
    <n v="1"/>
    <n v="4"/>
    <n v="4"/>
    <n v="4"/>
    <n v="2"/>
    <n v="3"/>
    <n v="5"/>
    <n v="2"/>
    <n v="4"/>
    <n v="4"/>
    <n v="5"/>
    <n v="2"/>
    <n v="1"/>
    <n v="1"/>
    <n v="5"/>
    <n v="3"/>
    <n v="5"/>
    <n v="1"/>
    <n v="2"/>
    <n v="1"/>
    <n v="4"/>
    <n v="1"/>
    <n v="1"/>
    <n v="2"/>
    <n v="5"/>
    <n v="2"/>
    <n v="1"/>
    <n v="2"/>
    <n v="2"/>
    <n v="4"/>
    <n v="2"/>
    <n v="1"/>
    <n v="1"/>
    <n v="3"/>
    <n v="4"/>
    <n v="2"/>
    <n v="3"/>
    <n v="1"/>
    <n v="1"/>
    <n v="5"/>
    <n v="2"/>
    <n v="1"/>
    <n v="3"/>
    <n v="2"/>
    <n v="1"/>
    <n v="4"/>
    <n v="1"/>
    <n v="5"/>
    <n v="5"/>
    <n v="3"/>
    <n v="1"/>
    <n v="1"/>
    <n v="2"/>
    <n v="5"/>
    <n v="1"/>
    <n v="1"/>
    <n v="1"/>
    <n v="1"/>
    <n v="1"/>
    <n v="4"/>
    <n v="2"/>
    <n v="1"/>
    <n v="1"/>
    <n v="4"/>
    <n v="1"/>
    <n v="1"/>
    <n v="1"/>
    <n v="1"/>
    <n v="4"/>
    <n v="5"/>
    <n v="4"/>
    <n v="1"/>
    <n v="1"/>
    <n v="4.5"/>
    <n v="4.25"/>
    <n v="4.75"/>
    <x v="2"/>
    <n v="4.75"/>
    <x v="2"/>
    <n v="2.5"/>
    <x v="13"/>
    <n v="1.5"/>
    <n v="2.75"/>
    <n v="2.5"/>
    <n v="1.5"/>
    <x v="5"/>
    <n v="3.5"/>
    <n v="5"/>
    <n v="3.25"/>
    <x v="6"/>
    <x v="3"/>
    <n v="4.25"/>
    <n v="4.5"/>
    <n v="4.5"/>
    <x v="1"/>
    <n v="4.25"/>
    <n v="2.75"/>
    <n v="3.75"/>
    <n v="5"/>
    <n v="5"/>
    <n v="5"/>
    <x v="3"/>
    <n v="5"/>
  </r>
  <r>
    <n v="47"/>
    <d v="2023-06-21T18:39:23"/>
    <d v="2023-06-21T18:41:02"/>
    <s v="Consinto em participar no questionário e que os dados recolhidos sejam utilizados para os fins acima referidos."/>
    <s v="54"/>
    <s v="Masculino"/>
    <s v="Num relacionamento (casamento, união de facto, etc.)"/>
    <s v="Sim"/>
    <s v="Doutoramento"/>
    <s v="Engenharia e Tecnologia"/>
    <s v="Trabalhador(a) por conta de outrem"/>
    <s v="Professor"/>
    <s v="Algumas vezes por semana"/>
    <s v="Computador (portátil, desktop...);Consolas portáteis (Nintendo switch, PSP, Wii U, etc..);Dispositivos móveis (telemóvel, tablet);"/>
    <s v="Aventura;Acção;Estratégia;Batalha/luta;Plataforma;Desporto;"/>
    <m/>
    <m/>
    <m/>
    <m/>
    <m/>
    <m/>
    <m/>
    <m/>
    <m/>
    <m/>
    <m/>
    <m/>
    <n v="2"/>
    <n v="0.6"/>
    <m/>
    <n v="2.1"/>
    <n v="0"/>
    <n v="1"/>
    <n v="5.7392879999999993"/>
    <n v="0"/>
    <n v="0"/>
    <m/>
    <m/>
    <n v="1"/>
    <n v="0"/>
    <m/>
    <n v="1.1000000000000001"/>
    <n v="0"/>
    <n v="1"/>
    <n v="14.249075999999999"/>
    <n v="0"/>
    <n v="0"/>
    <m/>
    <m/>
    <m/>
    <m/>
    <m/>
    <m/>
    <n v="0"/>
    <n v="1"/>
    <n v="11.320084999999999"/>
    <n v="0"/>
    <n v="0"/>
    <m/>
    <m/>
    <m/>
    <m/>
    <m/>
    <m/>
    <n v="0"/>
    <n v="1"/>
    <n v="9.4268850000000004"/>
    <n v="0"/>
    <m/>
    <m/>
    <m/>
    <m/>
    <n v="0"/>
    <n v="1"/>
    <n v="7.8356080000000006"/>
    <n v="0"/>
    <n v="0"/>
    <m/>
    <m/>
    <m/>
    <m/>
    <m/>
    <m/>
    <n v="0"/>
    <n v="1"/>
    <n v="14.845640999999999"/>
    <n v="4.7500000000000001E-2"/>
    <n v="0"/>
    <m/>
    <m/>
    <x v="1"/>
    <n v="1"/>
    <n v="0"/>
    <n v="0"/>
    <n v="0"/>
    <n v="0"/>
    <n v="0.1875"/>
    <n v="0.36363636363636365"/>
    <n v="0"/>
    <n v="149"/>
    <n v="400"/>
    <n v="0"/>
    <m/>
    <m/>
    <m/>
    <m/>
    <m/>
    <m/>
    <x v="1"/>
    <n v="0"/>
    <m/>
    <n v="4"/>
    <n v="2"/>
    <n v="5"/>
    <n v="3"/>
    <n v="4"/>
    <n v="2"/>
    <n v="3"/>
    <n v="4"/>
    <n v="1"/>
    <n v="1"/>
    <n v="4"/>
    <n v="5"/>
    <n v="4"/>
    <n v="5"/>
    <n v="5"/>
    <n v="4"/>
    <n v="3"/>
    <n v="3"/>
    <n v="2"/>
    <n v="2"/>
    <n v="5"/>
    <n v="5"/>
    <n v="5"/>
    <n v="3"/>
    <n v="4"/>
    <n v="2"/>
    <n v="3"/>
    <n v="1"/>
    <n v="5"/>
    <n v="4"/>
    <n v="1"/>
    <n v="2"/>
    <n v="5"/>
    <n v="4"/>
    <n v="4"/>
    <n v="2"/>
    <n v="2"/>
    <n v="5"/>
    <n v="2"/>
    <n v="4"/>
    <n v="4"/>
    <n v="3"/>
    <n v="5"/>
    <n v="5"/>
    <n v="4"/>
    <n v="5"/>
    <n v="5"/>
    <n v="2"/>
    <n v="1"/>
    <n v="4"/>
    <n v="3"/>
    <n v="3"/>
    <n v="1"/>
    <n v="3"/>
    <n v="4"/>
    <n v="3"/>
    <n v="3"/>
    <n v="5"/>
    <n v="3"/>
    <n v="3"/>
    <n v="3"/>
    <n v="2"/>
    <n v="5"/>
    <n v="3"/>
    <n v="5"/>
    <n v="2"/>
    <n v="5"/>
    <n v="1"/>
    <n v="4"/>
    <n v="1"/>
    <n v="5"/>
    <n v="3"/>
    <n v="4"/>
    <n v="1"/>
    <n v="1"/>
    <n v="3"/>
    <n v="3"/>
    <n v="3"/>
    <n v="3"/>
    <n v="1"/>
    <n v="3"/>
    <n v="1"/>
    <n v="3"/>
    <n v="1"/>
    <n v="3"/>
    <n v="4"/>
    <n v="1"/>
    <n v="2"/>
    <n v="1"/>
    <n v="1"/>
    <n v="4"/>
    <n v="3"/>
    <n v="4"/>
    <n v="5"/>
    <n v="2"/>
    <n v="4"/>
    <n v="4"/>
    <n v="4"/>
    <n v="2"/>
    <n v="1"/>
    <n v="1"/>
    <n v="2"/>
    <n v="2"/>
    <n v="1"/>
    <n v="2"/>
    <n v="1"/>
    <n v="1"/>
    <n v="4"/>
    <n v="1"/>
    <n v="2"/>
    <n v="3"/>
    <n v="1"/>
    <n v="2"/>
    <n v="1"/>
    <n v="1"/>
    <n v="1"/>
    <n v="3"/>
    <n v="3"/>
    <n v="4"/>
    <n v="3"/>
    <n v="2"/>
    <n v="4.25"/>
    <n v="2.25"/>
    <n v="4.25"/>
    <x v="11"/>
    <n v="3.75"/>
    <x v="6"/>
    <n v="2.75"/>
    <x v="0"/>
    <n v="3.75"/>
    <n v="4.25"/>
    <n v="4.5"/>
    <n v="2.25"/>
    <x v="10"/>
    <n v="2"/>
    <n v="4"/>
    <n v="3.25"/>
    <x v="6"/>
    <x v="0"/>
    <n v="5"/>
    <n v="4.5"/>
    <n v="4.75"/>
    <x v="2"/>
    <n v="5"/>
    <n v="3.25"/>
    <n v="3.5"/>
    <n v="4.75"/>
    <n v="4.75"/>
    <n v="4.5"/>
    <x v="2"/>
    <n v="4"/>
  </r>
  <r>
    <n v="48"/>
    <d v="2023-06-21T20:02:03"/>
    <d v="2023-06-21T20:04:30"/>
    <s v="Consinto em participar no questionário e que os dados recolhidos sejam utilizados para os fins acima referidos."/>
    <s v="53"/>
    <s v="Masculino"/>
    <s v="Num relacionamento (casamento, união de facto, etc.)"/>
    <s v="Sim"/>
    <s v="Licenciatura (3-5 anos)"/>
    <s v="Engenharia e Tecnologia"/>
    <s v="Trabalhador(a) por conta de outrem"/>
    <s v="Programador"/>
    <s v="Algumas vezes por semana"/>
    <s v="Computador (portátil, desktop...);Dispositivos móveis (telemóvel, tablet);"/>
    <s v="Estratégia;RPG/MMORPG;Fantasia;Acção;"/>
    <m/>
    <m/>
    <m/>
    <m/>
    <m/>
    <m/>
    <m/>
    <m/>
    <m/>
    <m/>
    <m/>
    <m/>
    <m/>
    <m/>
    <m/>
    <m/>
    <n v="0"/>
    <n v="1"/>
    <n v="7.689228"/>
    <n v="0"/>
    <n v="0"/>
    <m/>
    <m/>
    <m/>
    <m/>
    <m/>
    <m/>
    <n v="0"/>
    <n v="1"/>
    <n v="17.101628999999999"/>
    <n v="0.155"/>
    <n v="0"/>
    <m/>
    <m/>
    <m/>
    <m/>
    <m/>
    <m/>
    <n v="0"/>
    <n v="1"/>
    <n v="14.001075999999999"/>
    <n v="0"/>
    <n v="0"/>
    <m/>
    <m/>
    <m/>
    <m/>
    <m/>
    <m/>
    <n v="0"/>
    <n v="1"/>
    <n v="17.042031999999999"/>
    <n v="0"/>
    <m/>
    <m/>
    <m/>
    <m/>
    <n v="0"/>
    <n v="1"/>
    <n v="22.303426999999999"/>
    <n v="0"/>
    <n v="0"/>
    <m/>
    <m/>
    <m/>
    <m/>
    <m/>
    <m/>
    <n v="0"/>
    <n v="1"/>
    <n v="22.565673999999998"/>
    <n v="0.34"/>
    <n v="0"/>
    <m/>
    <m/>
    <x v="0"/>
    <n v="0"/>
    <n v="0"/>
    <n v="0"/>
    <n v="0"/>
    <n v="0"/>
    <n v="0.4375"/>
    <n v="0.71818181818181814"/>
    <n v="2"/>
    <n v="250"/>
    <n v="990"/>
    <n v="2"/>
    <m/>
    <m/>
    <m/>
    <m/>
    <m/>
    <m/>
    <x v="1"/>
    <n v="0"/>
    <m/>
    <n v="4"/>
    <n v="4"/>
    <n v="5"/>
    <n v="3"/>
    <n v="4"/>
    <n v="1"/>
    <n v="2"/>
    <n v="5"/>
    <n v="1"/>
    <n v="2"/>
    <n v="2"/>
    <n v="4"/>
    <n v="4"/>
    <n v="4"/>
    <n v="5"/>
    <n v="4"/>
    <n v="4"/>
    <n v="4"/>
    <n v="1"/>
    <n v="3"/>
    <n v="2"/>
    <n v="4"/>
    <n v="5"/>
    <n v="3"/>
    <n v="2"/>
    <n v="2"/>
    <n v="4"/>
    <n v="2"/>
    <n v="4"/>
    <n v="1"/>
    <n v="3"/>
    <n v="4"/>
    <n v="4"/>
    <n v="4"/>
    <n v="4"/>
    <n v="1"/>
    <n v="2"/>
    <n v="4"/>
    <n v="2"/>
    <n v="4"/>
    <n v="1"/>
    <n v="2"/>
    <n v="4"/>
    <n v="4"/>
    <n v="3"/>
    <n v="3"/>
    <n v="4"/>
    <n v="2"/>
    <n v="1"/>
    <n v="5"/>
    <n v="4"/>
    <n v="4"/>
    <n v="2"/>
    <n v="4"/>
    <n v="2"/>
    <n v="3"/>
    <n v="4"/>
    <n v="2"/>
    <n v="4"/>
    <n v="1"/>
    <n v="2"/>
    <n v="3"/>
    <n v="5"/>
    <n v="3"/>
    <n v="4"/>
    <n v="2"/>
    <n v="4"/>
    <n v="1"/>
    <n v="4"/>
    <n v="1"/>
    <n v="2"/>
    <n v="2"/>
    <n v="3"/>
    <n v="2"/>
    <n v="1"/>
    <n v="2"/>
    <n v="2"/>
    <n v="2"/>
    <n v="2"/>
    <n v="1"/>
    <n v="2"/>
    <n v="2"/>
    <n v="2"/>
    <n v="1"/>
    <n v="4"/>
    <n v="2"/>
    <n v="2"/>
    <n v="5"/>
    <n v="3"/>
    <n v="2"/>
    <n v="1"/>
    <n v="2"/>
    <n v="3"/>
    <n v="5"/>
    <n v="3"/>
    <n v="3"/>
    <n v="4"/>
    <n v="4"/>
    <n v="1"/>
    <n v="2"/>
    <n v="2"/>
    <n v="5"/>
    <n v="3"/>
    <n v="1"/>
    <n v="2"/>
    <n v="2"/>
    <n v="2"/>
    <n v="4"/>
    <n v="3"/>
    <n v="1"/>
    <n v="2"/>
    <n v="4"/>
    <n v="2"/>
    <n v="3"/>
    <n v="3"/>
    <n v="4"/>
    <n v="4"/>
    <n v="4"/>
    <n v="4"/>
    <n v="2"/>
    <n v="1"/>
    <n v="3.75"/>
    <n v="3"/>
    <n v="4"/>
    <x v="1"/>
    <n v="2.5"/>
    <x v="9"/>
    <n v="2.75"/>
    <x v="13"/>
    <n v="1.5"/>
    <n v="3.25"/>
    <n v="2.5"/>
    <n v="2.25"/>
    <x v="4"/>
    <n v="2"/>
    <n v="3"/>
    <n v="3"/>
    <x v="7"/>
    <x v="1"/>
    <n v="4.75"/>
    <n v="4.75"/>
    <n v="4.25"/>
    <x v="2"/>
    <n v="4.25"/>
    <n v="2.25"/>
    <n v="3.25"/>
    <n v="4.5"/>
    <n v="4.25"/>
    <n v="5"/>
    <x v="9"/>
    <n v="4"/>
  </r>
  <r>
    <n v="49"/>
    <d v="2023-06-22T11:15:08"/>
    <d v="2023-06-22T11:17:14"/>
    <s v="Consinto em participar no questionário e que os dados recolhidos sejam utilizados para os fins acima referidos."/>
    <s v="56"/>
    <s v="Masculino"/>
    <s v="Num relacionamento (casamento, união de facto, etc.)"/>
    <s v="Sim"/>
    <s v="Doutoramento"/>
    <s v="Ciências exatas"/>
    <s v="Trabalhador(a) por conta de outrem"/>
    <s v="Professor "/>
    <s v="Algumas vezes por dia"/>
    <s v="Computador (portátil, desktop...);Dispositivos móveis (telemóvel, tablet);"/>
    <s v="Estratégia;Puzzles;"/>
    <m/>
    <m/>
    <m/>
    <m/>
    <m/>
    <m/>
    <m/>
    <m/>
    <m/>
    <m/>
    <m/>
    <m/>
    <n v="1"/>
    <n v="0"/>
    <m/>
    <n v="1.05"/>
    <n v="0"/>
    <n v="1"/>
    <n v="7.8713989999999994"/>
    <n v="0"/>
    <n v="1"/>
    <n v="1"/>
    <n v="1"/>
    <n v="11"/>
    <n v="1"/>
    <m/>
    <n v="12.05"/>
    <n v="0"/>
    <n v="0.33333333333333331"/>
    <n v="34.679507999999998"/>
    <n v="0.58749999999999802"/>
    <n v="0"/>
    <m/>
    <m/>
    <m/>
    <m/>
    <m/>
    <m/>
    <n v="0"/>
    <n v="1"/>
    <n v="17.481480999999999"/>
    <n v="0"/>
    <n v="0"/>
    <m/>
    <m/>
    <m/>
    <m/>
    <m/>
    <m/>
    <n v="0"/>
    <n v="1"/>
    <n v="14.204044"/>
    <n v="0.26250000000000001"/>
    <m/>
    <m/>
    <m/>
    <m/>
    <n v="0"/>
    <n v="1"/>
    <n v="36.625749000000006"/>
    <n v="0"/>
    <m/>
    <m/>
    <m/>
    <n v="2"/>
    <n v="0"/>
    <m/>
    <n v="2.1"/>
    <n v="0"/>
    <n v="1"/>
    <n v="20.449037000000001"/>
    <n v="0.63500000000000001"/>
    <n v="0"/>
    <m/>
    <m/>
    <x v="3"/>
    <n v="2"/>
    <n v="1"/>
    <n v="0.2"/>
    <n v="0"/>
    <n v="0"/>
    <n v="0.45833333333333331"/>
    <n v="0.44545454545454544"/>
    <n v="1"/>
    <n v="233"/>
    <n v="590"/>
    <n v="1"/>
    <m/>
    <m/>
    <m/>
    <m/>
    <m/>
    <m/>
    <x v="1"/>
    <n v="0"/>
    <m/>
    <n v="4"/>
    <n v="3"/>
    <n v="5"/>
    <n v="4"/>
    <n v="4"/>
    <n v="3"/>
    <n v="2"/>
    <n v="5"/>
    <n v="1"/>
    <n v="3"/>
    <n v="2"/>
    <n v="4"/>
    <n v="3"/>
    <n v="4"/>
    <n v="3"/>
    <n v="3"/>
    <n v="2"/>
    <n v="3"/>
    <n v="2"/>
    <n v="3"/>
    <n v="2"/>
    <n v="4"/>
    <n v="4"/>
    <n v="4"/>
    <n v="3"/>
    <n v="1"/>
    <n v="3"/>
    <n v="2"/>
    <n v="4"/>
    <n v="2"/>
    <n v="4"/>
    <n v="4"/>
    <n v="4"/>
    <n v="4"/>
    <n v="4"/>
    <n v="3"/>
    <n v="2"/>
    <n v="3"/>
    <n v="1"/>
    <n v="3"/>
    <n v="1"/>
    <n v="4"/>
    <n v="4"/>
    <n v="4"/>
    <n v="5"/>
    <n v="3"/>
    <n v="2"/>
    <n v="2"/>
    <n v="2"/>
    <n v="3"/>
    <n v="2"/>
    <n v="2"/>
    <n v="2"/>
    <n v="4"/>
    <n v="3"/>
    <n v="3"/>
    <n v="3"/>
    <n v="4"/>
    <n v="4"/>
    <n v="2"/>
    <n v="3"/>
    <n v="2"/>
    <n v="4"/>
    <n v="4"/>
    <n v="4"/>
    <n v="2"/>
    <n v="3"/>
    <n v="3"/>
    <n v="4"/>
    <n v="1"/>
    <n v="3"/>
    <n v="2"/>
    <n v="4"/>
    <n v="2"/>
    <n v="2"/>
    <n v="2"/>
    <n v="2"/>
    <n v="4"/>
    <n v="2"/>
    <n v="1"/>
    <n v="2"/>
    <n v="4"/>
    <n v="2"/>
    <n v="1"/>
    <n v="4"/>
    <n v="3"/>
    <n v="2"/>
    <n v="4"/>
    <n v="2"/>
    <n v="2"/>
    <n v="2"/>
    <n v="2"/>
    <n v="2"/>
    <n v="4"/>
    <n v="2"/>
    <n v="4"/>
    <n v="4"/>
    <n v="4"/>
    <n v="1"/>
    <n v="1"/>
    <n v="2"/>
    <n v="4"/>
    <n v="3"/>
    <n v="2"/>
    <n v="2"/>
    <n v="2"/>
    <n v="2"/>
    <n v="3"/>
    <n v="4"/>
    <n v="1"/>
    <n v="2"/>
    <n v="4"/>
    <n v="1"/>
    <n v="1"/>
    <n v="2"/>
    <n v="4"/>
    <n v="4"/>
    <n v="4"/>
    <n v="3"/>
    <n v="2"/>
    <n v="2"/>
    <n v="4"/>
    <n v="3.25"/>
    <n v="4"/>
    <x v="7"/>
    <n v="2.75"/>
    <x v="2"/>
    <n v="3.25"/>
    <x v="1"/>
    <n v="1.75"/>
    <n v="3"/>
    <n v="2.5"/>
    <n v="2"/>
    <x v="6"/>
    <n v="2.25"/>
    <n v="3.75"/>
    <n v="2.75"/>
    <x v="3"/>
    <x v="8"/>
    <n v="4.25"/>
    <n v="4"/>
    <n v="3.75"/>
    <x v="5"/>
    <n v="4.5"/>
    <n v="3.25"/>
    <n v="4"/>
    <n v="5"/>
    <n v="4"/>
    <n v="4.5"/>
    <x v="9"/>
    <n v="4"/>
  </r>
  <r>
    <n v="50"/>
    <d v="2023-06-22T11:30:58"/>
    <d v="2023-06-22T11:32:41"/>
    <s v="Consinto em participar no questionário e que os dados recolhidos sejam utilizados para os fins acima referidos."/>
    <s v="53"/>
    <s v="Feminino"/>
    <s v="Num relacionamento (casamento, união de facto, etc.)"/>
    <s v="Sim"/>
    <s v="Doutoramento"/>
    <s v="Ciências exatas"/>
    <s v="Trabalhador(a) por conta de outrem"/>
    <s v="Professora "/>
    <s v="Algumas vezes por semana"/>
    <s v="Dispositivos móveis (telemóvel, tablet);"/>
    <s v="Estratégia;Puzzles;"/>
    <m/>
    <m/>
    <m/>
    <m/>
    <m/>
    <m/>
    <m/>
    <m/>
    <m/>
    <m/>
    <m/>
    <m/>
    <m/>
    <m/>
    <m/>
    <m/>
    <n v="0"/>
    <n v="1"/>
    <n v="5.8159030000000005"/>
    <n v="0"/>
    <n v="0"/>
    <m/>
    <m/>
    <m/>
    <m/>
    <m/>
    <m/>
    <n v="0"/>
    <n v="0.66666666666666663"/>
    <n v="12.542373"/>
    <n v="0.2175"/>
    <n v="0"/>
    <m/>
    <m/>
    <m/>
    <m/>
    <m/>
    <m/>
    <n v="0"/>
    <n v="1"/>
    <n v="6.1430299999999995"/>
    <n v="0"/>
    <n v="0"/>
    <m/>
    <m/>
    <m/>
    <m/>
    <m/>
    <m/>
    <n v="0"/>
    <n v="1"/>
    <n v="9.3909710000000004"/>
    <n v="0"/>
    <m/>
    <m/>
    <m/>
    <m/>
    <n v="0"/>
    <n v="1"/>
    <n v="17.446550999999999"/>
    <n v="0"/>
    <n v="1"/>
    <n v="0"/>
    <n v="1"/>
    <m/>
    <m/>
    <m/>
    <m/>
    <n v="0"/>
    <n v="1"/>
    <n v="17.536918"/>
    <n v="2.2499999999999999E-2"/>
    <n v="0"/>
    <m/>
    <m/>
    <x v="0"/>
    <n v="0"/>
    <n v="1"/>
    <n v="0.2"/>
    <n v="0"/>
    <n v="0"/>
    <n v="0"/>
    <n v="0.22727272727272727"/>
    <n v="0"/>
    <n v="149"/>
    <n v="250"/>
    <n v="0"/>
    <m/>
    <m/>
    <m/>
    <m/>
    <m/>
    <m/>
    <x v="1"/>
    <n v="0"/>
    <m/>
    <n v="5"/>
    <n v="2"/>
    <n v="4"/>
    <n v="2"/>
    <n v="4"/>
    <n v="1"/>
    <n v="2"/>
    <n v="5"/>
    <n v="1"/>
    <n v="4"/>
    <n v="3"/>
    <n v="4"/>
    <n v="4"/>
    <n v="5"/>
    <n v="5"/>
    <n v="3"/>
    <n v="2"/>
    <n v="4"/>
    <n v="1"/>
    <n v="4"/>
    <n v="3"/>
    <n v="4"/>
    <n v="5"/>
    <n v="2"/>
    <n v="4"/>
    <n v="2"/>
    <n v="2"/>
    <n v="3"/>
    <n v="4"/>
    <n v="2"/>
    <n v="4"/>
    <n v="2"/>
    <n v="3"/>
    <n v="3"/>
    <n v="3"/>
    <n v="2"/>
    <n v="2"/>
    <n v="4"/>
    <n v="1"/>
    <n v="2"/>
    <n v="2"/>
    <n v="2"/>
    <n v="4"/>
    <n v="5"/>
    <n v="4"/>
    <n v="4"/>
    <n v="2"/>
    <n v="2"/>
    <n v="2"/>
    <n v="3"/>
    <n v="4"/>
    <n v="3"/>
    <n v="2"/>
    <n v="3"/>
    <n v="2"/>
    <n v="2"/>
    <n v="4"/>
    <n v="4"/>
    <n v="4"/>
    <n v="2"/>
    <n v="2"/>
    <n v="2"/>
    <n v="3"/>
    <n v="3"/>
    <n v="4"/>
    <n v="2"/>
    <n v="2"/>
    <n v="4"/>
    <n v="4"/>
    <n v="1"/>
    <n v="2"/>
    <n v="2"/>
    <n v="4"/>
    <n v="2"/>
    <n v="1"/>
    <n v="2"/>
    <n v="3"/>
    <n v="3"/>
    <n v="4"/>
    <n v="1"/>
    <n v="2"/>
    <n v="3"/>
    <n v="2"/>
    <n v="2"/>
    <n v="2"/>
    <n v="4"/>
    <n v="3"/>
    <n v="4"/>
    <n v="3"/>
    <n v="1"/>
    <n v="2"/>
    <n v="2"/>
    <n v="4"/>
    <n v="3"/>
    <n v="4"/>
    <n v="3"/>
    <n v="4"/>
    <n v="4"/>
    <n v="2"/>
    <n v="2"/>
    <n v="2"/>
    <n v="3"/>
    <n v="2"/>
    <n v="2"/>
    <n v="2"/>
    <n v="2"/>
    <n v="2"/>
    <n v="4"/>
    <n v="3"/>
    <n v="2"/>
    <n v="2"/>
    <n v="4"/>
    <n v="1"/>
    <n v="2"/>
    <n v="1"/>
    <n v="2"/>
    <n v="4"/>
    <n v="4"/>
    <n v="4"/>
    <n v="2"/>
    <n v="2"/>
    <n v="3.5"/>
    <n v="4"/>
    <n v="4.25"/>
    <x v="8"/>
    <n v="3"/>
    <x v="2"/>
    <n v="3.25"/>
    <x v="8"/>
    <n v="2.5"/>
    <n v="3.5"/>
    <n v="2.5"/>
    <n v="2.25"/>
    <x v="10"/>
    <n v="2.5"/>
    <n v="3.5"/>
    <n v="2.25"/>
    <x v="4"/>
    <x v="8"/>
    <n v="3.25"/>
    <n v="3.75"/>
    <n v="4"/>
    <x v="5"/>
    <n v="4.25"/>
    <n v="3"/>
    <n v="2.5"/>
    <n v="4.75"/>
    <n v="4.75"/>
    <n v="4.5"/>
    <x v="3"/>
    <n v="4.25"/>
  </r>
  <r>
    <n v="51"/>
    <d v="2023-06-22T12:45:29"/>
    <d v="2023-06-22T12:47:45"/>
    <s v="Consinto em participar no questionário e que os dados recolhidos sejam utilizados para os fins acima referidos."/>
    <s v="27"/>
    <s v="Feminino"/>
    <s v="Solteiro(a)"/>
    <s v="Não"/>
    <s v="Mestrado"/>
    <s v="Ciências exatas"/>
    <s v="Estudante"/>
    <s v="Estudante de Doutoramento "/>
    <s v="Algumas vezes por dia"/>
    <s v="Dispositivos móveis (telemóvel, tablet);"/>
    <s v="Estratégia;Fantasia;Puzzles;"/>
    <m/>
    <m/>
    <m/>
    <m/>
    <m/>
    <m/>
    <m/>
    <m/>
    <m/>
    <m/>
    <m/>
    <m/>
    <n v="1"/>
    <n v="0.6"/>
    <m/>
    <n v="1.05"/>
    <n v="0"/>
    <n v="1"/>
    <n v="48.888459499999996"/>
    <n v="0"/>
    <n v="1"/>
    <n v="1"/>
    <n v="1"/>
    <n v="2"/>
    <n v="0.125"/>
    <m/>
    <n v="2.2000000000000002"/>
    <n v="0"/>
    <n v="1"/>
    <n v="13.456787"/>
    <n v="0.33250000000000002"/>
    <n v="0"/>
    <m/>
    <m/>
    <m/>
    <m/>
    <m/>
    <m/>
    <n v="0"/>
    <n v="1"/>
    <n v="8.1483689999999989"/>
    <n v="0"/>
    <n v="0"/>
    <m/>
    <m/>
    <n v="0"/>
    <n v="0"/>
    <m/>
    <n v="1.05"/>
    <n v="0"/>
    <n v="1"/>
    <n v="9.417999"/>
    <n v="0"/>
    <m/>
    <m/>
    <m/>
    <m/>
    <n v="0"/>
    <n v="1"/>
    <n v="8.6175160000000002"/>
    <n v="0"/>
    <n v="0"/>
    <m/>
    <m/>
    <n v="2"/>
    <n v="0"/>
    <m/>
    <n v="2.1"/>
    <n v="0"/>
    <n v="1"/>
    <n v="14.401541499999999"/>
    <n v="0.17250000000000001"/>
    <n v="1"/>
    <n v="1"/>
    <n v="0.83333333333333337"/>
    <x v="4"/>
    <n v="2"/>
    <n v="2"/>
    <n v="0.4"/>
    <n v="0"/>
    <n v="0"/>
    <n v="0.22916666666666666"/>
    <n v="0.41818181818181815"/>
    <n v="0"/>
    <n v="198"/>
    <n v="460"/>
    <n v="0"/>
    <m/>
    <m/>
    <m/>
    <m/>
    <m/>
    <m/>
    <x v="1"/>
    <n v="0"/>
    <m/>
    <n v="4"/>
    <n v="3"/>
    <n v="3"/>
    <n v="2"/>
    <n v="4"/>
    <n v="4"/>
    <n v="2"/>
    <n v="4"/>
    <n v="1"/>
    <n v="4"/>
    <n v="2"/>
    <n v="4"/>
    <n v="4"/>
    <n v="3"/>
    <n v="5"/>
    <n v="2"/>
    <n v="4"/>
    <n v="4"/>
    <n v="1"/>
    <n v="3"/>
    <n v="2"/>
    <n v="3"/>
    <n v="3"/>
    <n v="1"/>
    <n v="3"/>
    <n v="2"/>
    <n v="3"/>
    <n v="2"/>
    <n v="2"/>
    <n v="1"/>
    <n v="3"/>
    <n v="3"/>
    <n v="4"/>
    <n v="3"/>
    <n v="3"/>
    <n v="4"/>
    <n v="3"/>
    <n v="4"/>
    <n v="1"/>
    <n v="2"/>
    <n v="1"/>
    <n v="3"/>
    <n v="4"/>
    <n v="4"/>
    <n v="4"/>
    <n v="1"/>
    <n v="4"/>
    <n v="2"/>
    <n v="2"/>
    <n v="3"/>
    <n v="4"/>
    <n v="4"/>
    <n v="4"/>
    <n v="4"/>
    <n v="4"/>
    <n v="2"/>
    <n v="3"/>
    <n v="4"/>
    <n v="4"/>
    <n v="2"/>
    <n v="2"/>
    <n v="2"/>
    <n v="2"/>
    <n v="3"/>
    <n v="4"/>
    <n v="4"/>
    <n v="3"/>
    <n v="4"/>
    <n v="4"/>
    <n v="1"/>
    <n v="2"/>
    <n v="2"/>
    <n v="4"/>
    <n v="3"/>
    <n v="2"/>
    <n v="2"/>
    <n v="2"/>
    <n v="4"/>
    <n v="3"/>
    <n v="2"/>
    <n v="3"/>
    <n v="5"/>
    <n v="3"/>
    <n v="2"/>
    <n v="4"/>
    <n v="3"/>
    <n v="2"/>
    <n v="4"/>
    <n v="3"/>
    <n v="3"/>
    <n v="3"/>
    <n v="4"/>
    <n v="3"/>
    <n v="2"/>
    <n v="4"/>
    <n v="3"/>
    <n v="2"/>
    <n v="2"/>
    <n v="3"/>
    <n v="1"/>
    <n v="1"/>
    <n v="4"/>
    <n v="2"/>
    <n v="2"/>
    <n v="3"/>
    <n v="1"/>
    <n v="2"/>
    <n v="3"/>
    <n v="3"/>
    <n v="1"/>
    <n v="2"/>
    <n v="5"/>
    <n v="1"/>
    <n v="3"/>
    <n v="1"/>
    <n v="2"/>
    <n v="4"/>
    <n v="4"/>
    <n v="4"/>
    <n v="3"/>
    <n v="2"/>
    <n v="3.5"/>
    <n v="4.25"/>
    <n v="4.5"/>
    <x v="10"/>
    <n v="3.5"/>
    <x v="2"/>
    <n v="3.25"/>
    <x v="9"/>
    <n v="1.75"/>
    <n v="2.25"/>
    <n v="1.5"/>
    <n v="2"/>
    <x v="9"/>
    <n v="3"/>
    <n v="3.75"/>
    <n v="3.75"/>
    <x v="2"/>
    <x v="8"/>
    <n v="2.75"/>
    <n v="3.25"/>
    <n v="3.75"/>
    <x v="11"/>
    <n v="3"/>
    <n v="2.75"/>
    <n v="2.5"/>
    <n v="5"/>
    <n v="3.5"/>
    <n v="4.5"/>
    <x v="2"/>
    <n v="3"/>
  </r>
  <r>
    <n v="52"/>
    <d v="2023-06-22T13:24:58"/>
    <d v="2023-06-22T13:26:41"/>
    <s v="Consinto em participar no questionário e que os dados recolhidos sejam utilizados para os fins acima referidos."/>
    <s v="21"/>
    <s v="Masculino"/>
    <s v="Solteiro(a)"/>
    <s v="Não"/>
    <s v="Licenciatura (3-5 anos)"/>
    <s v="Engenharia e Tecnologia"/>
    <s v="Estudante"/>
    <s v="Estudante"/>
    <s v="Algumas vezes por semana"/>
    <s v="Computador (portátil, desktop...);Dispositivos móveis (telemóvel, tablet);"/>
    <s v="Estratégia;Multiplayer;RPG/MMORPG;Desporto;Puzzles;"/>
    <m/>
    <m/>
    <m/>
    <m/>
    <n v="1"/>
    <n v="0"/>
    <n v="2.5372789999999998"/>
    <n v="0"/>
    <n v="0"/>
    <n v="0"/>
    <n v="5.7354080000000005"/>
    <n v="0"/>
    <m/>
    <m/>
    <m/>
    <m/>
    <n v="0"/>
    <n v="1"/>
    <n v="38.479968999999997"/>
    <n v="0"/>
    <n v="0"/>
    <m/>
    <m/>
    <n v="9"/>
    <n v="0.75"/>
    <m/>
    <n v="8.9500000000000011"/>
    <n v="0"/>
    <n v="1"/>
    <n v="8.2509169999999994"/>
    <n v="9.2499999999999999E-2"/>
    <n v="0"/>
    <m/>
    <m/>
    <m/>
    <m/>
    <m/>
    <m/>
    <n v="0"/>
    <n v="1"/>
    <n v="9.4048069999999999"/>
    <n v="0"/>
    <n v="0"/>
    <m/>
    <m/>
    <m/>
    <m/>
    <m/>
    <m/>
    <n v="0"/>
    <n v="1"/>
    <n v="9.4194940000000003"/>
    <n v="0"/>
    <m/>
    <m/>
    <m/>
    <m/>
    <n v="0"/>
    <n v="1"/>
    <n v="8.4618389999999994"/>
    <n v="0"/>
    <n v="0"/>
    <m/>
    <m/>
    <n v="5"/>
    <n v="0.4"/>
    <m/>
    <n v="5.25"/>
    <n v="0"/>
    <n v="1"/>
    <n v="18.777560000000001"/>
    <n v="0.14749999999999999"/>
    <n v="0"/>
    <m/>
    <m/>
    <x v="3"/>
    <n v="2"/>
    <n v="0"/>
    <n v="0"/>
    <n v="0"/>
    <n v="1"/>
    <n v="1"/>
    <n v="1"/>
    <n v="2"/>
    <n v="368"/>
    <n v="1300"/>
    <n v="2"/>
    <m/>
    <m/>
    <m/>
    <m/>
    <m/>
    <m/>
    <x v="1"/>
    <n v="0"/>
    <m/>
    <n v="5"/>
    <n v="3"/>
    <n v="3"/>
    <n v="3"/>
    <n v="4"/>
    <n v="4"/>
    <n v="2"/>
    <n v="5"/>
    <n v="1"/>
    <n v="5"/>
    <n v="3"/>
    <n v="4"/>
    <n v="4"/>
    <n v="5"/>
    <n v="5"/>
    <n v="5"/>
    <n v="2"/>
    <n v="5"/>
    <n v="1"/>
    <n v="4"/>
    <n v="4"/>
    <n v="5"/>
    <n v="5"/>
    <n v="2"/>
    <n v="4"/>
    <n v="5"/>
    <n v="3"/>
    <n v="3"/>
    <n v="5"/>
    <n v="2"/>
    <n v="5"/>
    <n v="3"/>
    <n v="4"/>
    <n v="4"/>
    <n v="4"/>
    <n v="4"/>
    <n v="3"/>
    <n v="5"/>
    <n v="1"/>
    <n v="4"/>
    <n v="2"/>
    <n v="2"/>
    <n v="5"/>
    <n v="5"/>
    <n v="5"/>
    <n v="4"/>
    <n v="3"/>
    <n v="3"/>
    <n v="3"/>
    <n v="4"/>
    <n v="2"/>
    <n v="4"/>
    <n v="1"/>
    <n v="3"/>
    <n v="4"/>
    <n v="2"/>
    <n v="3"/>
    <n v="2"/>
    <n v="5"/>
    <n v="4"/>
    <n v="4"/>
    <n v="2"/>
    <n v="3"/>
    <n v="3"/>
    <n v="3"/>
    <n v="4"/>
    <n v="3"/>
    <n v="2"/>
    <n v="4"/>
    <n v="1"/>
    <n v="2"/>
    <n v="3"/>
    <n v="3"/>
    <n v="2"/>
    <n v="1"/>
    <n v="1"/>
    <n v="4"/>
    <n v="2"/>
    <n v="2"/>
    <n v="3"/>
    <n v="2"/>
    <n v="2"/>
    <n v="3"/>
    <n v="2"/>
    <n v="3"/>
    <n v="4"/>
    <n v="3"/>
    <n v="4"/>
    <n v="1"/>
    <n v="2"/>
    <n v="2"/>
    <n v="4"/>
    <n v="2"/>
    <n v="3"/>
    <n v="3"/>
    <n v="3"/>
    <n v="2"/>
    <n v="1"/>
    <n v="1"/>
    <n v="1"/>
    <n v="1"/>
    <n v="4"/>
    <n v="4"/>
    <n v="1"/>
    <n v="1"/>
    <n v="1"/>
    <n v="1"/>
    <n v="3"/>
    <n v="1"/>
    <n v="2"/>
    <n v="2"/>
    <n v="3"/>
    <n v="1"/>
    <n v="1"/>
    <n v="2"/>
    <n v="4"/>
    <n v="3"/>
    <n v="4"/>
    <n v="4"/>
    <n v="1"/>
    <n v="1"/>
    <n v="3.5"/>
    <n v="4"/>
    <n v="5"/>
    <x v="1"/>
    <n v="3"/>
    <x v="8"/>
    <n v="4.5"/>
    <x v="9"/>
    <n v="2.5"/>
    <n v="4.5"/>
    <n v="3.75"/>
    <n v="3.25"/>
    <x v="4"/>
    <n v="3.25"/>
    <n v="2.75"/>
    <n v="2.5"/>
    <x v="6"/>
    <x v="8"/>
    <n v="3.25"/>
    <n v="4.75"/>
    <n v="4.5"/>
    <x v="12"/>
    <n v="4.75"/>
    <n v="3"/>
    <n v="3.25"/>
    <n v="5"/>
    <n v="5"/>
    <n v="3.75"/>
    <x v="2"/>
    <n v="4.75"/>
  </r>
  <r>
    <n v="53"/>
    <d v="2023-06-22T13:25:13"/>
    <d v="2023-06-22T13:27:31"/>
    <s v="Consinto em participar no questionário e que os dados recolhidos sejam utilizados para os fins acima referidos."/>
    <s v="21"/>
    <s v="Feminino"/>
    <s v="Solteiro(a)"/>
    <s v="Não"/>
    <s v="Licenciatura (3-5 anos)"/>
    <s v="Ciências naturais"/>
    <s v="Estudante"/>
    <s v="Estudante"/>
    <s v="Algumas vezes por semana"/>
    <s v="Computador (portátil, desktop...);Dispositivos móveis (telemóvel, tablet);"/>
    <s v="Multiplayer;Simulação;"/>
    <m/>
    <m/>
    <m/>
    <m/>
    <m/>
    <m/>
    <m/>
    <m/>
    <m/>
    <m/>
    <m/>
    <m/>
    <m/>
    <m/>
    <m/>
    <m/>
    <n v="0"/>
    <n v="1"/>
    <n v="6.9735279999999999"/>
    <n v="0"/>
    <n v="1"/>
    <n v="1"/>
    <n v="1"/>
    <m/>
    <m/>
    <m/>
    <m/>
    <n v="0"/>
    <n v="0.66666666666666663"/>
    <n v="9.8678059999999999"/>
    <n v="0.44"/>
    <n v="0"/>
    <m/>
    <m/>
    <m/>
    <m/>
    <m/>
    <m/>
    <n v="0"/>
    <n v="1"/>
    <n v="7.2086450000000006"/>
    <n v="0"/>
    <n v="0"/>
    <m/>
    <m/>
    <m/>
    <m/>
    <m/>
    <m/>
    <n v="0"/>
    <n v="1"/>
    <n v="11.895297000000001"/>
    <n v="0"/>
    <m/>
    <m/>
    <m/>
    <m/>
    <n v="0"/>
    <n v="1"/>
    <n v="15.432566000000001"/>
    <n v="0"/>
    <n v="0"/>
    <m/>
    <m/>
    <m/>
    <m/>
    <m/>
    <m/>
    <n v="0"/>
    <n v="1"/>
    <n v="22.369603999999999"/>
    <n v="3.5000000000000003E-2"/>
    <n v="0"/>
    <m/>
    <m/>
    <x v="0"/>
    <n v="0"/>
    <n v="1"/>
    <n v="0.2"/>
    <n v="0"/>
    <n v="0"/>
    <n v="0.125"/>
    <n v="0.29090909090909089"/>
    <n v="0"/>
    <n v="166"/>
    <n v="320"/>
    <n v="0"/>
    <m/>
    <m/>
    <m/>
    <m/>
    <m/>
    <m/>
    <x v="1"/>
    <n v="0"/>
    <m/>
    <n v="4"/>
    <n v="3"/>
    <n v="4"/>
    <n v="3"/>
    <n v="4"/>
    <n v="1"/>
    <n v="4"/>
    <n v="5"/>
    <n v="2"/>
    <n v="3"/>
    <n v="2"/>
    <n v="4"/>
    <n v="5"/>
    <n v="4"/>
    <n v="4"/>
    <n v="5"/>
    <n v="2"/>
    <n v="4"/>
    <n v="3"/>
    <n v="2"/>
    <n v="3"/>
    <n v="4"/>
    <n v="3"/>
    <n v="4"/>
    <n v="4"/>
    <n v="4"/>
    <n v="5"/>
    <n v="3"/>
    <n v="4"/>
    <n v="4"/>
    <n v="3"/>
    <n v="3"/>
    <n v="4"/>
    <n v="4"/>
    <n v="4"/>
    <n v="2"/>
    <n v="1"/>
    <n v="5"/>
    <n v="3"/>
    <n v="4"/>
    <n v="2"/>
    <n v="4"/>
    <n v="5"/>
    <n v="5"/>
    <n v="4"/>
    <n v="5"/>
    <n v="4"/>
    <n v="3"/>
    <n v="2"/>
    <n v="4"/>
    <n v="3"/>
    <n v="4"/>
    <n v="3"/>
    <n v="4"/>
    <n v="3"/>
    <n v="2"/>
    <n v="3"/>
    <n v="4"/>
    <n v="4"/>
    <n v="4"/>
    <n v="4"/>
    <n v="2"/>
    <n v="4"/>
    <n v="4"/>
    <n v="3"/>
    <n v="4"/>
    <n v="3"/>
    <n v="4"/>
    <n v="2"/>
    <n v="2"/>
    <n v="5"/>
    <n v="2"/>
    <n v="4"/>
    <n v="1"/>
    <n v="1"/>
    <n v="2"/>
    <n v="2"/>
    <n v="4"/>
    <n v="3"/>
    <n v="2"/>
    <n v="3"/>
    <n v="2"/>
    <n v="4"/>
    <n v="1"/>
    <n v="4"/>
    <n v="4"/>
    <n v="3"/>
    <n v="5"/>
    <n v="3"/>
    <n v="1"/>
    <n v="4"/>
    <n v="2"/>
    <n v="2"/>
    <n v="4"/>
    <n v="2"/>
    <n v="4"/>
    <n v="4"/>
    <n v="2"/>
    <n v="2"/>
    <n v="2"/>
    <n v="2"/>
    <n v="4"/>
    <n v="4"/>
    <n v="1"/>
    <n v="2"/>
    <n v="2"/>
    <n v="2"/>
    <n v="2"/>
    <n v="3"/>
    <n v="2"/>
    <n v="2"/>
    <n v="2"/>
    <n v="3"/>
    <n v="3"/>
    <n v="2"/>
    <n v="4"/>
    <n v="4"/>
    <n v="5"/>
    <n v="2"/>
    <n v="4"/>
    <n v="4"/>
    <n v="3.75"/>
    <n v="2.5"/>
    <n v="4"/>
    <x v="10"/>
    <n v="2.75"/>
    <x v="0"/>
    <n v="3.25"/>
    <x v="5"/>
    <n v="2"/>
    <n v="4"/>
    <n v="3.5"/>
    <n v="2.75"/>
    <x v="4"/>
    <n v="3"/>
    <n v="3.5"/>
    <n v="3.5"/>
    <x v="5"/>
    <x v="3"/>
    <n v="4"/>
    <n v="4"/>
    <n v="5"/>
    <x v="5"/>
    <n v="3.5"/>
    <n v="3.5"/>
    <n v="3.75"/>
    <n v="3.75"/>
    <n v="4.5"/>
    <n v="3.75"/>
    <x v="9"/>
    <n v="3.75"/>
  </r>
  <r>
    <n v="54"/>
    <d v="2023-06-22T13:57:41"/>
    <d v="2023-06-22T13:59:19"/>
    <s v="Consinto em participar no questionário e que os dados recolhidos sejam utilizados para os fins acima referidos."/>
    <s v="18"/>
    <s v="Masculino"/>
    <s v="Solteiro(a)"/>
    <s v="Não"/>
    <s v="Ensino secundário"/>
    <s v="Ciências sociais"/>
    <s v="Estudante"/>
    <s v="Estudante"/>
    <s v="Já joguei, mas de momento não jogo"/>
    <s v="Consolas fixas (XBox, Playstation...);Computador (portátil, desktop...);Consolas portáteis (Nintendo switch, PSP, Wii U, etc..);"/>
    <s v="Aventura;Acção;Multiplayer;Plataforma;RPG/MMORPG;Simulação;"/>
    <m/>
    <m/>
    <m/>
    <m/>
    <m/>
    <m/>
    <m/>
    <m/>
    <m/>
    <m/>
    <m/>
    <m/>
    <m/>
    <m/>
    <m/>
    <m/>
    <n v="0"/>
    <n v="1"/>
    <n v="3.9367550000000002"/>
    <n v="0"/>
    <n v="0"/>
    <m/>
    <m/>
    <m/>
    <m/>
    <m/>
    <m/>
    <n v="0"/>
    <n v="0.66666666666666663"/>
    <n v="5.669295"/>
    <n v="0.185"/>
    <n v="0"/>
    <m/>
    <m/>
    <m/>
    <m/>
    <m/>
    <m/>
    <n v="0"/>
    <n v="1"/>
    <n v="5.5507989999999996"/>
    <n v="0"/>
    <n v="0"/>
    <m/>
    <m/>
    <m/>
    <m/>
    <m/>
    <m/>
    <n v="0"/>
    <n v="1"/>
    <n v="9.4272629999999999"/>
    <n v="0"/>
    <m/>
    <m/>
    <m/>
    <m/>
    <n v="0"/>
    <n v="0.5"/>
    <n v="7.8007420000000005"/>
    <n v="0"/>
    <n v="0"/>
    <m/>
    <m/>
    <n v="7"/>
    <n v="0.4"/>
    <m/>
    <n v="7.3500000000000005"/>
    <n v="0"/>
    <n v="0"/>
    <n v="11.388922000000001"/>
    <n v="3.5000000000000003E-2"/>
    <n v="0"/>
    <m/>
    <m/>
    <x v="2"/>
    <n v="1"/>
    <n v="0"/>
    <n v="0"/>
    <n v="0"/>
    <n v="0"/>
    <n v="0.16666666666666666"/>
    <n v="0.24545454545454545"/>
    <n v="0"/>
    <n v="134"/>
    <n v="270"/>
    <n v="0"/>
    <m/>
    <m/>
    <m/>
    <m/>
    <m/>
    <m/>
    <x v="1"/>
    <n v="0"/>
    <m/>
    <n v="5"/>
    <n v="3"/>
    <n v="4"/>
    <n v="2"/>
    <n v="5"/>
    <n v="5"/>
    <n v="3"/>
    <n v="5"/>
    <n v="4"/>
    <n v="4"/>
    <n v="3"/>
    <n v="4"/>
    <n v="3"/>
    <n v="5"/>
    <n v="5"/>
    <n v="4"/>
    <n v="3"/>
    <n v="2"/>
    <n v="3"/>
    <n v="5"/>
    <n v="5"/>
    <n v="4"/>
    <n v="3"/>
    <n v="3"/>
    <n v="4"/>
    <n v="5"/>
    <n v="5"/>
    <n v="3"/>
    <n v="4"/>
    <n v="1"/>
    <n v="4"/>
    <n v="2"/>
    <n v="5"/>
    <n v="3"/>
    <n v="3"/>
    <n v="4"/>
    <n v="3"/>
    <n v="5"/>
    <n v="1"/>
    <n v="4"/>
    <n v="1"/>
    <n v="2"/>
    <n v="4"/>
    <n v="5"/>
    <n v="2"/>
    <n v="4"/>
    <n v="3"/>
    <n v="5"/>
    <n v="2"/>
    <n v="5"/>
    <n v="2"/>
    <n v="4"/>
    <n v="2"/>
    <n v="4"/>
    <n v="4"/>
    <n v="2"/>
    <n v="4"/>
    <n v="4"/>
    <n v="3"/>
    <n v="4"/>
    <n v="4"/>
    <n v="4"/>
    <n v="4"/>
    <n v="2"/>
    <n v="3"/>
    <n v="4"/>
    <n v="4"/>
    <n v="2"/>
    <n v="4"/>
    <n v="2"/>
    <n v="5"/>
    <n v="4"/>
    <n v="2"/>
    <n v="4"/>
    <n v="2"/>
    <n v="2"/>
    <n v="5"/>
    <n v="4"/>
    <n v="4"/>
    <n v="2"/>
    <n v="5"/>
    <n v="2"/>
    <n v="2"/>
    <n v="4"/>
    <n v="3"/>
    <n v="5"/>
    <n v="2"/>
    <n v="5"/>
    <n v="4"/>
    <n v="3"/>
    <n v="2"/>
    <n v="5"/>
    <n v="3"/>
    <n v="2"/>
    <n v="4"/>
    <n v="4"/>
    <n v="2"/>
    <n v="5"/>
    <n v="2"/>
    <n v="1"/>
    <n v="1"/>
    <n v="3"/>
    <n v="5"/>
    <n v="2"/>
    <n v="1"/>
    <n v="1"/>
    <n v="2"/>
    <n v="5"/>
    <n v="5"/>
    <n v="2"/>
    <n v="1"/>
    <n v="2"/>
    <n v="1"/>
    <n v="2"/>
    <n v="2"/>
    <n v="4"/>
    <n v="1"/>
    <n v="4"/>
    <n v="4"/>
    <n v="4"/>
    <n v="1"/>
    <n v="3.75"/>
    <n v="3"/>
    <n v="4"/>
    <x v="1"/>
    <n v="2.75"/>
    <x v="2"/>
    <n v="4.5"/>
    <x v="7"/>
    <n v="2.75"/>
    <n v="4.25"/>
    <n v="4.25"/>
    <n v="3.5"/>
    <x v="10"/>
    <n v="2.25"/>
    <n v="2.25"/>
    <n v="2.75"/>
    <x v="2"/>
    <x v="3"/>
    <n v="3.75"/>
    <n v="4.5"/>
    <n v="3.25"/>
    <x v="0"/>
    <n v="3.25"/>
    <n v="2.75"/>
    <n v="2.25"/>
    <n v="4"/>
    <n v="4.75"/>
    <n v="3.75"/>
    <x v="5"/>
    <n v="3"/>
  </r>
  <r>
    <n v="55"/>
    <d v="2023-06-22T14:35:51"/>
    <d v="2023-06-22T14:37:33"/>
    <s v="Consinto em participar no questionário e que os dados recolhidos sejam utilizados para os fins acima referidos."/>
    <s v="21"/>
    <s v="Feminino"/>
    <s v="Solteiro(a)"/>
    <s v="Não"/>
    <s v="Licenciatura (3-5 anos)"/>
    <s v="Ciências sociais"/>
    <s v="Estudante"/>
    <s v="Estudante"/>
    <s v="Algumas vezes por semana"/>
    <s v="Dispositivos móveis (telemóvel, tablet);"/>
    <s v="Multiplayer;Puzzles;Estratégia;"/>
    <m/>
    <m/>
    <m/>
    <m/>
    <m/>
    <m/>
    <m/>
    <m/>
    <m/>
    <m/>
    <m/>
    <m/>
    <m/>
    <m/>
    <m/>
    <m/>
    <n v="0"/>
    <n v="1"/>
    <n v="3.9088015"/>
    <n v="0"/>
    <n v="1"/>
    <n v="1"/>
    <n v="0.6"/>
    <n v="2"/>
    <n v="0.25"/>
    <m/>
    <n v="2.2000000000000002"/>
    <n v="0"/>
    <n v="1"/>
    <n v="6.3674379999999999"/>
    <n v="4.4999999999999998E-2"/>
    <n v="0"/>
    <m/>
    <m/>
    <m/>
    <m/>
    <m/>
    <m/>
    <n v="0"/>
    <n v="1"/>
    <n v="5.2534460000000003"/>
    <n v="0"/>
    <n v="0"/>
    <m/>
    <m/>
    <n v="1"/>
    <n v="1"/>
    <n v="27.972300000000001"/>
    <n v="1.05"/>
    <m/>
    <m/>
    <m/>
    <m/>
    <m/>
    <m/>
    <m/>
    <m/>
    <n v="0"/>
    <n v="1"/>
    <n v="14.173111"/>
    <n v="0"/>
    <n v="0"/>
    <m/>
    <m/>
    <m/>
    <m/>
    <m/>
    <m/>
    <n v="0"/>
    <n v="1"/>
    <n v="16.643929499999999"/>
    <n v="1.1375"/>
    <n v="0"/>
    <m/>
    <m/>
    <x v="1"/>
    <n v="1"/>
    <n v="0"/>
    <n v="0"/>
    <n v="0"/>
    <n v="0"/>
    <n v="0.6875"/>
    <n v="0.8545454545454545"/>
    <n v="2"/>
    <n v="386"/>
    <n v="1140"/>
    <n v="2"/>
    <n v="0.875"/>
    <n v="0.90909090909090906"/>
    <n v="3"/>
    <n v="386"/>
    <n v="1300"/>
    <n v="2"/>
    <x v="0"/>
    <n v="0"/>
    <m/>
    <n v="4"/>
    <n v="4"/>
    <n v="2"/>
    <n v="4"/>
    <n v="4"/>
    <n v="1"/>
    <n v="2"/>
    <n v="4"/>
    <n v="1"/>
    <n v="4"/>
    <n v="1"/>
    <n v="4"/>
    <n v="2"/>
    <n v="4"/>
    <n v="4"/>
    <n v="2"/>
    <n v="1"/>
    <n v="5"/>
    <n v="1"/>
    <n v="4"/>
    <n v="2"/>
    <n v="4"/>
    <n v="4"/>
    <n v="2"/>
    <n v="3"/>
    <n v="1"/>
    <n v="4"/>
    <n v="4"/>
    <n v="4"/>
    <n v="2"/>
    <n v="4"/>
    <n v="5"/>
    <n v="2"/>
    <n v="5"/>
    <n v="4"/>
    <n v="1"/>
    <n v="2"/>
    <n v="5"/>
    <n v="1"/>
    <n v="1"/>
    <n v="2"/>
    <n v="3"/>
    <n v="4"/>
    <n v="5"/>
    <n v="4"/>
    <n v="2"/>
    <n v="2"/>
    <n v="2"/>
    <n v="1"/>
    <n v="4"/>
    <n v="5"/>
    <n v="4"/>
    <n v="4"/>
    <n v="3"/>
    <n v="4"/>
    <n v="1"/>
    <n v="4"/>
    <n v="2"/>
    <n v="5"/>
    <n v="1"/>
    <n v="1"/>
    <n v="2"/>
    <n v="4"/>
    <n v="5"/>
    <n v="4"/>
    <n v="1"/>
    <n v="2"/>
    <n v="3"/>
    <n v="4"/>
    <n v="1"/>
    <n v="1"/>
    <n v="1"/>
    <n v="4"/>
    <n v="2"/>
    <n v="1"/>
    <n v="2"/>
    <n v="2"/>
    <n v="4"/>
    <n v="2"/>
    <n v="1"/>
    <n v="2"/>
    <n v="3"/>
    <n v="3"/>
    <n v="2"/>
    <n v="3"/>
    <n v="3"/>
    <n v="2"/>
    <n v="4"/>
    <n v="1"/>
    <n v="1"/>
    <n v="1"/>
    <n v="2"/>
    <n v="1"/>
    <n v="3"/>
    <n v="1"/>
    <n v="4"/>
    <n v="5"/>
    <n v="2"/>
    <n v="2"/>
    <n v="1"/>
    <n v="1"/>
    <n v="5"/>
    <n v="2"/>
    <n v="1"/>
    <n v="1"/>
    <n v="1"/>
    <n v="4"/>
    <n v="5"/>
    <n v="1"/>
    <n v="1"/>
    <n v="1"/>
    <n v="3"/>
    <n v="2"/>
    <n v="2"/>
    <n v="2"/>
    <n v="2"/>
    <n v="3"/>
    <n v="5"/>
    <n v="2"/>
    <n v="1"/>
    <n v="2"/>
    <n v="4"/>
    <n v="4.75"/>
    <n v="4.25"/>
    <x v="5"/>
    <n v="3.5"/>
    <x v="3"/>
    <n v="2.75"/>
    <x v="6"/>
    <n v="1.25"/>
    <n v="2"/>
    <n v="2.25"/>
    <n v="1.75"/>
    <x v="5"/>
    <n v="3"/>
    <n v="3.75"/>
    <n v="2"/>
    <x v="6"/>
    <x v="1"/>
    <n v="2.75"/>
    <n v="4"/>
    <n v="3.75"/>
    <x v="13"/>
    <n v="3.5"/>
    <n v="3.75"/>
    <n v="4.75"/>
    <n v="5"/>
    <n v="4.75"/>
    <n v="5"/>
    <x v="2"/>
    <n v="4.75"/>
  </r>
  <r>
    <n v="56"/>
    <d v="2023-06-22T14:45:59"/>
    <d v="2023-06-22T14:47:54"/>
    <s v="Consinto em participar no questionário e que os dados recolhidos sejam utilizados para os fins acima referidos."/>
    <s v="27"/>
    <s v="Masculino"/>
    <s v="Solteiro(a)"/>
    <s v="Não"/>
    <s v="Doutoramento"/>
    <s v="Engenharia e Tecnologia"/>
    <s v="Trabalhador-estudante"/>
    <s v="Investigador"/>
    <s v="Uma vez por semana"/>
    <s v="Computador (portátil, desktop...);Dispositivos móveis (telemóvel, tablet);"/>
    <s v="Aventura;Simulação;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7"/>
    <m/>
    <m/>
    <m/>
    <m/>
    <m/>
    <n v="0.3125"/>
    <n v="0.45454545454545453"/>
    <n v="0"/>
    <n v="150"/>
    <n v="500"/>
    <n v="0"/>
    <n v="0.52083333333333337"/>
    <n v="0.78181818181818186"/>
    <n v="1"/>
    <n v="200"/>
    <n v="960"/>
    <n v="1"/>
    <x v="0"/>
    <n v="0"/>
    <m/>
    <n v="5"/>
    <n v="5"/>
    <n v="4"/>
    <n v="2"/>
    <n v="4"/>
    <n v="4"/>
    <n v="5"/>
    <n v="3"/>
    <n v="4"/>
    <n v="4"/>
    <n v="5"/>
    <n v="5"/>
    <n v="5"/>
    <n v="5"/>
    <n v="4"/>
    <n v="1"/>
    <n v="5"/>
    <n v="2"/>
    <n v="5"/>
    <n v="5"/>
    <n v="5"/>
    <n v="5"/>
    <n v="4"/>
    <n v="2"/>
    <n v="3"/>
    <n v="4"/>
    <n v="5"/>
    <n v="3"/>
    <n v="4"/>
    <n v="5"/>
    <n v="5"/>
    <n v="4"/>
    <n v="3"/>
    <n v="3"/>
    <n v="3"/>
    <n v="5"/>
    <n v="5"/>
    <n v="4"/>
    <n v="4"/>
    <n v="5"/>
    <n v="4"/>
    <n v="5"/>
    <n v="5"/>
    <n v="5"/>
    <n v="4"/>
    <n v="3"/>
    <n v="5"/>
    <n v="5"/>
    <n v="4"/>
    <n v="4"/>
    <n v="5"/>
    <n v="5"/>
    <n v="2"/>
    <n v="3"/>
    <n v="4"/>
    <n v="4"/>
    <n v="4"/>
    <n v="5"/>
    <n v="5"/>
    <n v="5"/>
    <n v="5"/>
    <n v="2"/>
    <n v="4"/>
    <n v="3"/>
    <n v="4"/>
    <n v="5"/>
    <n v="4"/>
    <n v="3"/>
    <n v="4"/>
    <n v="4"/>
    <n v="2"/>
    <n v="4"/>
    <n v="4"/>
    <n v="5"/>
    <n v="5"/>
    <n v="1"/>
    <n v="5"/>
    <n v="3"/>
    <n v="5"/>
    <n v="5"/>
    <n v="4"/>
    <n v="1"/>
    <n v="4"/>
    <n v="2"/>
    <n v="3"/>
    <n v="4"/>
    <n v="4"/>
    <n v="3"/>
    <n v="1"/>
    <n v="1"/>
    <n v="3"/>
    <n v="4"/>
    <n v="4"/>
    <n v="5"/>
    <n v="4"/>
    <n v="4"/>
    <n v="2"/>
    <n v="2"/>
    <n v="3"/>
    <n v="1"/>
    <n v="1"/>
    <n v="2"/>
    <n v="2"/>
    <n v="1"/>
    <n v="1"/>
    <n v="4"/>
    <n v="4"/>
    <n v="3"/>
    <n v="4"/>
    <n v="3"/>
    <n v="2"/>
    <n v="3"/>
    <n v="4"/>
    <n v="2"/>
    <n v="2"/>
    <n v="4"/>
    <n v="2"/>
    <n v="3"/>
    <n v="5"/>
    <n v="2"/>
    <n v="4"/>
    <n v="3.75"/>
    <n v="3.5"/>
    <n v="3.75"/>
    <x v="8"/>
    <n v="2.75"/>
    <x v="13"/>
    <n v="4.75"/>
    <x v="15"/>
    <n v="4.25"/>
    <n v="2.75"/>
    <n v="3.5"/>
    <n v="4"/>
    <x v="6"/>
    <n v="4"/>
    <n v="4.5"/>
    <n v="4"/>
    <x v="11"/>
    <x v="7"/>
    <n v="4"/>
    <n v="3.25"/>
    <n v="4"/>
    <x v="0"/>
    <n v="4"/>
    <n v="3.5"/>
    <n v="2.5"/>
    <n v="2.75"/>
    <n v="4"/>
    <n v="1.75"/>
    <x v="2"/>
    <n v="4.5"/>
  </r>
  <r>
    <n v="57"/>
    <d v="2023-06-22T14:46:07"/>
    <d v="2023-06-22T14:48:18"/>
    <s v="Consinto em participar no questionário e que os dados recolhidos sejam utilizados para os fins acima referidos."/>
    <s v="28"/>
    <s v="Masculino"/>
    <s v="Solteiro(a)"/>
    <s v="Não"/>
    <s v="Doutoramento"/>
    <s v="Engenharia e Tecnologia"/>
    <s v="Trabalhador-estudante"/>
    <s v="PhD Student in Computer Science"/>
    <s v="Algumas vezes por dia"/>
    <s v="Computador (portátil, desktop...);Dispositivos móveis (telemóvel, tablet);Consolas portáteis (Nintendo switch, PSP, Wii U, etc..);"/>
    <s v="Estratégia;Desporto;RPG/MMORPG;Simulação;"/>
    <m/>
    <m/>
    <m/>
    <m/>
    <n v="1"/>
    <n v="0"/>
    <n v="3.113842"/>
    <n v="0"/>
    <n v="1"/>
    <n v="0"/>
    <n v="13.67089"/>
    <n v="1.1000000000000001"/>
    <n v="4"/>
    <n v="1"/>
    <n v="22.549379999999999"/>
    <n v="4.2"/>
    <n v="0"/>
    <n v="1"/>
    <n v="36.32976"/>
    <n v="0"/>
    <n v="1"/>
    <n v="1"/>
    <n v="1"/>
    <n v="28"/>
    <n v="0.625"/>
    <m/>
    <n v="30.900000000000006"/>
    <n v="0"/>
    <n v="1"/>
    <n v="12.070440000000001"/>
    <n v="0.23"/>
    <n v="0"/>
    <m/>
    <m/>
    <m/>
    <m/>
    <m/>
    <m/>
    <n v="0"/>
    <n v="1"/>
    <n v="8.4033119999999997"/>
    <n v="0"/>
    <n v="0"/>
    <m/>
    <m/>
    <n v="1"/>
    <n v="0"/>
    <m/>
    <n v="0.3"/>
    <n v="0"/>
    <n v="1"/>
    <n v="13.993069999999999"/>
    <n v="0.1525"/>
    <m/>
    <m/>
    <m/>
    <m/>
    <n v="0"/>
    <n v="1"/>
    <n v="24.62762"/>
    <n v="0"/>
    <n v="0"/>
    <m/>
    <m/>
    <n v="2"/>
    <n v="0"/>
    <m/>
    <n v="2.1"/>
    <n v="0"/>
    <n v="1"/>
    <n v="19.069569999999999"/>
    <n v="1.7500000000000002E-2"/>
    <n v="1"/>
    <n v="0"/>
    <n v="1"/>
    <x v="4"/>
    <n v="2"/>
    <n v="2"/>
    <n v="0.4"/>
    <n v="0"/>
    <n v="1"/>
    <n v="0.5"/>
    <n v="0.78181818181818186"/>
    <n v="1"/>
    <n v="372"/>
    <n v="960"/>
    <n v="1"/>
    <m/>
    <m/>
    <m/>
    <m/>
    <m/>
    <m/>
    <x v="1"/>
    <n v="0"/>
    <m/>
    <n v="4"/>
    <n v="2"/>
    <n v="4"/>
    <n v="4"/>
    <n v="4"/>
    <n v="2"/>
    <n v="2"/>
    <n v="5"/>
    <n v="1"/>
    <n v="3"/>
    <n v="4"/>
    <n v="3"/>
    <n v="4"/>
    <n v="4"/>
    <n v="5"/>
    <n v="5"/>
    <n v="2"/>
    <n v="3"/>
    <n v="4"/>
    <n v="4"/>
    <n v="3"/>
    <n v="4"/>
    <n v="4"/>
    <n v="2"/>
    <n v="2"/>
    <n v="4"/>
    <n v="2"/>
    <n v="4"/>
    <n v="4"/>
    <n v="2"/>
    <n v="4"/>
    <n v="2"/>
    <n v="4"/>
    <n v="4"/>
    <n v="3"/>
    <n v="3"/>
    <n v="2"/>
    <n v="4"/>
    <n v="2"/>
    <n v="2"/>
    <n v="2"/>
    <n v="5"/>
    <n v="4"/>
    <n v="4"/>
    <n v="5"/>
    <n v="4"/>
    <n v="1"/>
    <n v="4"/>
    <n v="1"/>
    <n v="4"/>
    <n v="2"/>
    <n v="2"/>
    <n v="1"/>
    <n v="2"/>
    <n v="4"/>
    <n v="4"/>
    <n v="3"/>
    <n v="3"/>
    <n v="5"/>
    <n v="2"/>
    <n v="4"/>
    <n v="2"/>
    <n v="3"/>
    <n v="4"/>
    <n v="4"/>
    <n v="2"/>
    <n v="2"/>
    <n v="3"/>
    <n v="4"/>
    <n v="1"/>
    <n v="2"/>
    <n v="4"/>
    <n v="4"/>
    <n v="2"/>
    <n v="1"/>
    <n v="2"/>
    <n v="4"/>
    <n v="2"/>
    <n v="2"/>
    <n v="2"/>
    <n v="2"/>
    <n v="3"/>
    <n v="2"/>
    <n v="1"/>
    <n v="3"/>
    <n v="4"/>
    <n v="2"/>
    <n v="4"/>
    <n v="1"/>
    <n v="1"/>
    <n v="2"/>
    <n v="2"/>
    <n v="4"/>
    <n v="4"/>
    <n v="2"/>
    <n v="4"/>
    <n v="4"/>
    <n v="5"/>
    <n v="2"/>
    <n v="1"/>
    <n v="1"/>
    <n v="3"/>
    <n v="2"/>
    <n v="1"/>
    <n v="2"/>
    <n v="2"/>
    <n v="2"/>
    <n v="4"/>
    <n v="2"/>
    <n v="1"/>
    <n v="2"/>
    <n v="3"/>
    <n v="2"/>
    <n v="1"/>
    <n v="2"/>
    <n v="3"/>
    <n v="3"/>
    <n v="4"/>
    <n v="3"/>
    <n v="2"/>
    <n v="1"/>
    <n v="3.75"/>
    <n v="4"/>
    <n v="4.5"/>
    <x v="1"/>
    <n v="2.75"/>
    <x v="10"/>
    <n v="3.5"/>
    <x v="5"/>
    <n v="3.25"/>
    <n v="4.25"/>
    <n v="3.25"/>
    <n v="3.25"/>
    <x v="10"/>
    <n v="2.25"/>
    <n v="4"/>
    <n v="1.75"/>
    <x v="4"/>
    <x v="10"/>
    <n v="3.75"/>
    <n v="4"/>
    <n v="4.25"/>
    <x v="5"/>
    <n v="4.75"/>
    <n v="3.75"/>
    <n v="4"/>
    <n v="4.75"/>
    <n v="4.25"/>
    <n v="4"/>
    <x v="1"/>
    <n v="4.5"/>
  </r>
  <r>
    <n v="58"/>
    <d v="2023-06-22T14:46:31"/>
    <d v="2023-06-22T14:51:16"/>
    <s v="Consinto em participar no questionário e que os dados recolhidos sejam utilizados para os fins acima referidos."/>
    <s v="29"/>
    <s v="Masculino"/>
    <s v="Solteiro(a)"/>
    <s v="Não"/>
    <s v="Doutoramento"/>
    <s v="Ciências exatas"/>
    <s v="Trabalhador-estudante"/>
    <s v="Investigador"/>
    <s v="Algumas vezes por dia"/>
    <s v="Computador (portátil, desktop...);Consolas portáteis (Nintendo switch, PSP, Wii U, etc..);Dispositivos móveis (telemóvel, tablet);"/>
    <s v="Batalha/luta;Estratégia;Fantasia;RPG/MMORPG;Puzzles;Multiplayer;Plataforma;Aventura;"/>
    <m/>
    <m/>
    <m/>
    <m/>
    <n v="1"/>
    <n v="0"/>
    <n v="3.7942710000000002"/>
    <n v="0"/>
    <n v="1"/>
    <n v="1"/>
    <n v="20.200470000000003"/>
    <n v="1.8374999999999999"/>
    <n v="1"/>
    <n v="1"/>
    <n v="8.229630499999999"/>
    <n v="1.05"/>
    <n v="0"/>
    <n v="1"/>
    <n v="16.366530000000001"/>
    <n v="0"/>
    <n v="2"/>
    <n v="2"/>
    <n v="1"/>
    <n v="6"/>
    <n v="1"/>
    <n v="28.705220000000001"/>
    <n v="6.45"/>
    <m/>
    <m/>
    <m/>
    <m/>
    <n v="0"/>
    <m/>
    <m/>
    <n v="4"/>
    <n v="1"/>
    <n v="12.176622999999999"/>
    <n v="4.01"/>
    <m/>
    <m/>
    <m/>
    <m/>
    <n v="3"/>
    <n v="3"/>
    <n v="0"/>
    <n v="0"/>
    <n v="1"/>
    <n v="38.662080000000003"/>
    <n v="0.75"/>
    <m/>
    <m/>
    <m/>
    <m/>
    <m/>
    <m/>
    <m/>
    <m/>
    <n v="0"/>
    <n v="1"/>
    <n v="7.6986610000000004"/>
    <n v="0"/>
    <n v="0"/>
    <m/>
    <m/>
    <n v="22"/>
    <n v="1"/>
    <n v="26.6327"/>
    <n v="23.1"/>
    <n v="0"/>
    <n v="1"/>
    <n v="13.007287999999999"/>
    <n v="0.1875"/>
    <n v="6"/>
    <n v="5"/>
    <n v="1"/>
    <x v="8"/>
    <n v="2"/>
    <n v="3"/>
    <n v="0.6"/>
    <n v="1"/>
    <n v="1"/>
    <n v="1"/>
    <n v="1"/>
    <n v="2"/>
    <n v="319"/>
    <n v="1300"/>
    <n v="2"/>
    <n v="1"/>
    <n v="1"/>
    <n v="3"/>
    <n v="267"/>
    <n v="1400"/>
    <n v="3"/>
    <x v="0"/>
    <n v="0"/>
    <m/>
    <n v="4"/>
    <n v="3"/>
    <n v="4"/>
    <n v="4"/>
    <n v="4"/>
    <n v="2"/>
    <n v="3"/>
    <n v="4"/>
    <n v="1"/>
    <n v="3"/>
    <n v="2"/>
    <n v="3"/>
    <n v="3"/>
    <n v="4"/>
    <n v="4"/>
    <n v="3"/>
    <n v="4"/>
    <n v="2"/>
    <n v="1"/>
    <n v="3"/>
    <n v="1"/>
    <n v="4"/>
    <n v="4"/>
    <n v="1"/>
    <n v="3"/>
    <n v="3"/>
    <n v="3"/>
    <n v="3"/>
    <n v="4"/>
    <n v="2"/>
    <n v="4"/>
    <n v="3"/>
    <n v="4"/>
    <n v="4"/>
    <n v="2"/>
    <n v="2"/>
    <n v="2"/>
    <n v="4"/>
    <n v="1"/>
    <n v="2"/>
    <n v="2"/>
    <n v="2"/>
    <n v="3"/>
    <n v="4"/>
    <n v="4"/>
    <n v="2"/>
    <n v="1"/>
    <n v="4"/>
    <n v="1"/>
    <n v="3"/>
    <n v="2"/>
    <n v="2"/>
    <n v="3"/>
    <n v="2"/>
    <n v="4"/>
    <n v="3"/>
    <n v="4"/>
    <n v="2"/>
    <n v="4"/>
    <n v="3"/>
    <n v="4"/>
    <n v="2"/>
    <n v="4"/>
    <n v="4"/>
    <n v="3"/>
    <n v="2"/>
    <n v="2"/>
    <n v="2"/>
    <n v="4"/>
    <n v="1"/>
    <n v="4"/>
    <n v="3"/>
    <n v="3"/>
    <n v="2"/>
    <n v="2"/>
    <n v="1"/>
    <n v="2"/>
    <n v="4"/>
    <n v="4"/>
    <n v="1"/>
    <n v="2"/>
    <n v="2"/>
    <n v="1"/>
    <n v="3"/>
    <n v="2"/>
    <n v="4"/>
    <n v="3"/>
    <n v="4"/>
    <n v="3"/>
    <n v="2"/>
    <n v="2"/>
    <n v="4"/>
    <n v="2"/>
    <n v="4"/>
    <n v="2"/>
    <n v="3"/>
    <n v="4"/>
    <n v="4"/>
    <n v="2"/>
    <n v="2"/>
    <n v="2"/>
    <n v="3"/>
    <n v="4"/>
    <n v="2"/>
    <n v="2"/>
    <n v="2"/>
    <n v="2"/>
    <n v="5"/>
    <n v="3"/>
    <n v="2"/>
    <n v="3"/>
    <n v="4"/>
    <n v="1"/>
    <n v="2"/>
    <n v="2"/>
    <n v="4"/>
    <n v="2"/>
    <n v="4"/>
    <n v="3"/>
    <n v="2"/>
    <n v="2"/>
    <n v="3"/>
    <n v="3.25"/>
    <n v="4.25"/>
    <x v="10"/>
    <n v="2.75"/>
    <x v="8"/>
    <n v="4"/>
    <x v="0"/>
    <n v="2.5"/>
    <n v="2.75"/>
    <n v="2.75"/>
    <n v="3.25"/>
    <x v="4"/>
    <n v="2.75"/>
    <n v="2.5"/>
    <n v="2.5"/>
    <x v="9"/>
    <x v="7"/>
    <n v="4"/>
    <n v="4"/>
    <n v="3.5"/>
    <x v="3"/>
    <n v="3.5"/>
    <n v="2.75"/>
    <n v="4"/>
    <n v="4.75"/>
    <n v="4"/>
    <n v="4.75"/>
    <x v="10"/>
    <n v="4"/>
  </r>
  <r>
    <n v="59"/>
    <d v="2023-06-22T15:00:36"/>
    <d v="2023-06-22T15:02:57"/>
    <s v="Consinto em participar no questionário e que os dados recolhidos sejam utilizados para os fins acima referidos."/>
    <s v="19"/>
    <s v="Masculino"/>
    <s v="Solteiro(a)"/>
    <s v="Não"/>
    <s v="Bacharelato (2-3 anos)"/>
    <s v="Engenharia e Tecnologia"/>
    <s v="Estudante"/>
    <s v="Estudante"/>
    <s v="Algumas vezes por semana"/>
    <s v="Computador (portátil, desktop...);Dispositivos móveis (telemóvel, tablet);"/>
    <s v="Aventura;Acção;Batalha/luta;Estratégia;Simulação;Multiplayer;"/>
    <m/>
    <m/>
    <m/>
    <m/>
    <n v="1"/>
    <n v="0"/>
    <n v="3.6272330000000004"/>
    <n v="0"/>
    <n v="0"/>
    <n v="0"/>
    <n v="8.5512219999999992"/>
    <n v="0"/>
    <m/>
    <m/>
    <m/>
    <m/>
    <n v="0"/>
    <n v="1"/>
    <n v="16.437760999999998"/>
    <n v="0"/>
    <n v="0"/>
    <m/>
    <m/>
    <n v="12"/>
    <n v="1"/>
    <n v="19.860430000000001"/>
    <n v="13.250000000000002"/>
    <m/>
    <m/>
    <m/>
    <m/>
    <n v="0"/>
    <m/>
    <m/>
    <m/>
    <m/>
    <m/>
    <m/>
    <n v="0"/>
    <n v="1"/>
    <n v="5.2561530000000003"/>
    <n v="0"/>
    <n v="0"/>
    <m/>
    <m/>
    <n v="0"/>
    <n v="1"/>
    <n v="55.502336999999997"/>
    <n v="0.75"/>
    <m/>
    <m/>
    <m/>
    <m/>
    <m/>
    <m/>
    <m/>
    <m/>
    <n v="0"/>
    <n v="1"/>
    <n v="8.3326039999999999"/>
    <n v="0"/>
    <n v="0"/>
    <m/>
    <m/>
    <m/>
    <m/>
    <m/>
    <m/>
    <n v="0"/>
    <n v="1"/>
    <n v="11.651040999999999"/>
    <n v="2.75E-2"/>
    <n v="0"/>
    <m/>
    <m/>
    <x v="3"/>
    <n v="2"/>
    <n v="0"/>
    <n v="0"/>
    <n v="0"/>
    <n v="1"/>
    <n v="1"/>
    <n v="1"/>
    <n v="2"/>
    <n v="388"/>
    <n v="1300"/>
    <n v="2"/>
    <n v="1"/>
    <n v="1"/>
    <n v="3"/>
    <n v="317"/>
    <n v="1400"/>
    <n v="3"/>
    <x v="0"/>
    <n v="0"/>
    <m/>
    <n v="4"/>
    <n v="3"/>
    <n v="3"/>
    <n v="5"/>
    <n v="4"/>
    <n v="3"/>
    <n v="3"/>
    <n v="3"/>
    <n v="3"/>
    <n v="2"/>
    <n v="2"/>
    <n v="3"/>
    <n v="2"/>
    <n v="4"/>
    <n v="4"/>
    <n v="4"/>
    <n v="3"/>
    <n v="2"/>
    <n v="3"/>
    <n v="4"/>
    <n v="2"/>
    <n v="4"/>
    <n v="2"/>
    <n v="3"/>
    <n v="2"/>
    <n v="3"/>
    <n v="4"/>
    <n v="3"/>
    <n v="3"/>
    <n v="3"/>
    <n v="4"/>
    <n v="3"/>
    <n v="3"/>
    <n v="4"/>
    <n v="3"/>
    <n v="2"/>
    <n v="3"/>
    <n v="4"/>
    <n v="2"/>
    <n v="3"/>
    <n v="2"/>
    <n v="2"/>
    <n v="4"/>
    <n v="4"/>
    <n v="3"/>
    <n v="4"/>
    <n v="2"/>
    <n v="2"/>
    <n v="1"/>
    <n v="3"/>
    <n v="4"/>
    <n v="4"/>
    <n v="1"/>
    <n v="3"/>
    <n v="4"/>
    <n v="3"/>
    <n v="4"/>
    <n v="5"/>
    <n v="3"/>
    <n v="2"/>
    <n v="3"/>
    <n v="3"/>
    <n v="4"/>
    <n v="4"/>
    <n v="3"/>
    <n v="2"/>
    <n v="4"/>
    <n v="3"/>
    <n v="4"/>
    <n v="2"/>
    <n v="4"/>
    <n v="2"/>
    <n v="3"/>
    <n v="3"/>
    <n v="2"/>
    <n v="3"/>
    <n v="3"/>
    <n v="3"/>
    <n v="2"/>
    <n v="2"/>
    <n v="1"/>
    <n v="2"/>
    <n v="4"/>
    <n v="2"/>
    <n v="3"/>
    <n v="3"/>
    <n v="3"/>
    <n v="4"/>
    <n v="3"/>
    <n v="3"/>
    <n v="3"/>
    <n v="2"/>
    <n v="2"/>
    <n v="3"/>
    <n v="2"/>
    <n v="4"/>
    <n v="4"/>
    <n v="3"/>
    <n v="4"/>
    <n v="2"/>
    <n v="4"/>
    <n v="4"/>
    <n v="4"/>
    <n v="2"/>
    <n v="3"/>
    <n v="2"/>
    <n v="3"/>
    <n v="4"/>
    <n v="2"/>
    <n v="2"/>
    <n v="3"/>
    <n v="3"/>
    <n v="2"/>
    <n v="1"/>
    <n v="3"/>
    <n v="3"/>
    <n v="3"/>
    <n v="4"/>
    <n v="3"/>
    <n v="5"/>
    <n v="2"/>
    <n v="3.5"/>
    <n v="2.25"/>
    <n v="3.5"/>
    <x v="8"/>
    <n v="3"/>
    <x v="4"/>
    <n v="3.25"/>
    <x v="5"/>
    <n v="2"/>
    <n v="3.5"/>
    <n v="2.75"/>
    <n v="3"/>
    <x v="9"/>
    <n v="2.75"/>
    <n v="2.5"/>
    <n v="2.5"/>
    <x v="8"/>
    <x v="2"/>
    <n v="3.25"/>
    <n v="3"/>
    <n v="3.25"/>
    <x v="11"/>
    <n v="4"/>
    <n v="3.5"/>
    <n v="4.25"/>
    <n v="3.75"/>
    <n v="3.75"/>
    <n v="4"/>
    <x v="5"/>
    <n v="2.5"/>
  </r>
  <r>
    <n v="60"/>
    <d v="2023-06-22T15:02:21"/>
    <d v="2023-06-22T15:03:30"/>
    <s v="Consinto em participar no questionário e que os dados recolhidos sejam utilizados para os fins acima referidos."/>
    <s v="19"/>
    <s v="Masculino"/>
    <s v="Solteiro(a)"/>
    <s v="Não"/>
    <s v="Ensino secundário"/>
    <s v="Engenharia e Tecnologia"/>
    <s v="Estudante"/>
    <s v="Estudante"/>
    <s v="Já joguei, mas de momento não jogo"/>
    <s v="Computador (portátil, desktop...);"/>
    <s v="RPG/MMORPG;Estratégia;Multiplayer;"/>
    <m/>
    <m/>
    <m/>
    <m/>
    <n v="1"/>
    <n v="0"/>
    <n v="8.8658210000000004"/>
    <n v="0"/>
    <n v="0"/>
    <n v="1"/>
    <n v="31.031312000000003"/>
    <n v="0.97499999999999998"/>
    <n v="3"/>
    <n v="1"/>
    <n v="8.0158240000000003"/>
    <n v="3.1500000000000004"/>
    <n v="0"/>
    <n v="1"/>
    <n v="32.513790999999998"/>
    <n v="0"/>
    <n v="2"/>
    <n v="1"/>
    <n v="1"/>
    <n v="10"/>
    <n v="0.875"/>
    <n v="21.598527999999998"/>
    <n v="11.100000000000001"/>
    <m/>
    <m/>
    <m/>
    <m/>
    <n v="0"/>
    <m/>
    <m/>
    <n v="2"/>
    <n v="1"/>
    <m/>
    <n v="2.0350000000000001"/>
    <n v="0"/>
    <n v="1"/>
    <n v="6.5407330000000004"/>
    <n v="0"/>
    <n v="1"/>
    <n v="1"/>
    <n v="0.6"/>
    <n v="2"/>
    <n v="1"/>
    <n v="45.432721000000001"/>
    <n v="2.1"/>
    <m/>
    <m/>
    <m/>
    <m/>
    <m/>
    <m/>
    <m/>
    <m/>
    <n v="0"/>
    <n v="1"/>
    <n v="14.349347999999999"/>
    <n v="0"/>
    <n v="0"/>
    <m/>
    <m/>
    <n v="4"/>
    <n v="0.6"/>
    <n v="14.349347999999999"/>
    <n v="5.25"/>
    <n v="0"/>
    <n v="1"/>
    <n v="14.617228500000001"/>
    <n v="1.5000000000000001E-2"/>
    <n v="2"/>
    <n v="1"/>
    <n v="1"/>
    <x v="8"/>
    <n v="2"/>
    <n v="3"/>
    <n v="0.6"/>
    <n v="1"/>
    <n v="1"/>
    <n v="1"/>
    <n v="0.98181818181818181"/>
    <n v="3"/>
    <n v="267"/>
    <n v="1380"/>
    <n v="2"/>
    <m/>
    <m/>
    <m/>
    <m/>
    <m/>
    <m/>
    <x v="1"/>
    <n v="0"/>
    <m/>
    <n v="4"/>
    <n v="3"/>
    <n v="3"/>
    <n v="2"/>
    <n v="3"/>
    <n v="2"/>
    <n v="2"/>
    <n v="3"/>
    <n v="3"/>
    <n v="2"/>
    <n v="3"/>
    <n v="3"/>
    <n v="3"/>
    <n v="4"/>
    <n v="3"/>
    <n v="2"/>
    <n v="2"/>
    <n v="3"/>
    <n v="3"/>
    <n v="2"/>
    <n v="2"/>
    <n v="3"/>
    <n v="4"/>
    <n v="4"/>
    <n v="3"/>
    <n v="2"/>
    <n v="2"/>
    <n v="2"/>
    <n v="4"/>
    <n v="3"/>
    <n v="4"/>
    <n v="3"/>
    <n v="2"/>
    <n v="3"/>
    <n v="2"/>
    <n v="3"/>
    <n v="3"/>
    <n v="4"/>
    <n v="2"/>
    <n v="4"/>
    <n v="3"/>
    <n v="3"/>
    <n v="3"/>
    <n v="4"/>
    <n v="3"/>
    <n v="4"/>
    <n v="3"/>
    <n v="3"/>
    <n v="2"/>
    <n v="3"/>
    <n v="2"/>
    <n v="4"/>
    <n v="3"/>
    <n v="4"/>
    <n v="3"/>
    <n v="2"/>
    <n v="3"/>
    <n v="4"/>
    <n v="3"/>
    <n v="3"/>
    <n v="3"/>
    <n v="2"/>
    <n v="4"/>
    <n v="2"/>
    <n v="4"/>
    <n v="3"/>
    <n v="4"/>
    <n v="3"/>
    <n v="4"/>
    <n v="2"/>
    <n v="3"/>
    <n v="3"/>
    <n v="3"/>
    <n v="2"/>
    <n v="2"/>
    <n v="4"/>
    <n v="1"/>
    <n v="3"/>
    <n v="1"/>
    <n v="3"/>
    <n v="2"/>
    <n v="3"/>
    <n v="4"/>
    <n v="2"/>
    <n v="4"/>
    <n v="4"/>
    <n v="2"/>
    <n v="5"/>
    <n v="4"/>
    <n v="3"/>
    <n v="3"/>
    <n v="2"/>
    <n v="2"/>
    <n v="5"/>
    <n v="4"/>
    <n v="3"/>
    <n v="4"/>
    <n v="4"/>
    <n v="3"/>
    <n v="2"/>
    <n v="3"/>
    <n v="3"/>
    <n v="2"/>
    <n v="2"/>
    <n v="3"/>
    <n v="3"/>
    <n v="3"/>
    <n v="4"/>
    <n v="2"/>
    <n v="3"/>
    <n v="4"/>
    <n v="3"/>
    <n v="2"/>
    <n v="1"/>
    <n v="2"/>
    <n v="4"/>
    <n v="4"/>
    <n v="3"/>
    <n v="3"/>
    <n v="2"/>
    <n v="2"/>
    <n v="3"/>
    <n v="2.5"/>
    <n v="2.75"/>
    <x v="3"/>
    <n v="2.5"/>
    <x v="1"/>
    <n v="3.25"/>
    <x v="1"/>
    <n v="3"/>
    <n v="2.5"/>
    <n v="3"/>
    <n v="2"/>
    <x v="4"/>
    <n v="2.25"/>
    <n v="3.25"/>
    <n v="2.5"/>
    <x v="6"/>
    <x v="10"/>
    <n v="3.5"/>
    <n v="3.25"/>
    <n v="3.5"/>
    <x v="2"/>
    <n v="4"/>
    <n v="2.75"/>
    <n v="2.25"/>
    <n v="3.75"/>
    <n v="3.75"/>
    <n v="3.25"/>
    <x v="9"/>
    <n v="3.5"/>
  </r>
  <r>
    <n v="61"/>
    <d v="2023-06-22T15:07:34"/>
    <d v="2023-06-22T15:08:50"/>
    <s v="Consinto em participar no questionário e que os dados recolhidos sejam utilizados para os fins acima referidos."/>
    <s v="21"/>
    <s v="Masculino"/>
    <s v="Solteiro(a)"/>
    <s v="Não"/>
    <s v="Licenciatura (3-5 anos)"/>
    <s v="Ciências exatas"/>
    <s v="Estudante"/>
    <s v="Estudante"/>
    <s v="Uma vez por dia"/>
    <s v="Computador (portátil, desktop...);Dispositivos móveis (telemóvel, tablet);"/>
    <s v="Estratégia;Multiplayer;Batalha/luta;Acção;"/>
    <n v="0"/>
    <n v="1"/>
    <n v="5.8948770000000001"/>
    <n v="0"/>
    <m/>
    <m/>
    <m/>
    <m/>
    <n v="1"/>
    <n v="1"/>
    <n v="15.858086999999999"/>
    <n v="2.0549999999999908"/>
    <n v="0"/>
    <n v="1"/>
    <n v="10.255158999999999"/>
    <n v="0"/>
    <m/>
    <m/>
    <m/>
    <m/>
    <n v="0"/>
    <m/>
    <m/>
    <n v="0"/>
    <n v="1"/>
    <n v="21.036906999999999"/>
    <n v="0"/>
    <m/>
    <m/>
    <m/>
    <m/>
    <n v="0"/>
    <m/>
    <m/>
    <n v="0"/>
    <n v="1"/>
    <n v="12.871561999999999"/>
    <n v="0.99249999999999206"/>
    <m/>
    <m/>
    <m/>
    <m/>
    <n v="1"/>
    <n v="0"/>
    <n v="1"/>
    <n v="0"/>
    <n v="1"/>
    <n v="38.929430999999994"/>
    <n v="0.3"/>
    <m/>
    <m/>
    <m/>
    <m/>
    <m/>
    <m/>
    <m/>
    <m/>
    <n v="0"/>
    <n v="1"/>
    <n v="8.5517059999999994"/>
    <n v="0"/>
    <n v="0"/>
    <m/>
    <m/>
    <n v="0"/>
    <n v="1"/>
    <n v="32.848939999999999"/>
    <n v="0"/>
    <n v="0"/>
    <n v="1"/>
    <n v="13.899386750000001"/>
    <n v="4.7500000000000001E-2"/>
    <n v="5"/>
    <n v="4"/>
    <n v="1"/>
    <x v="6"/>
    <n v="2"/>
    <n v="2"/>
    <n v="0.4"/>
    <n v="1"/>
    <n v="1"/>
    <n v="1"/>
    <n v="1"/>
    <n v="3"/>
    <n v="268"/>
    <n v="1400"/>
    <n v="3"/>
    <m/>
    <m/>
    <m/>
    <m/>
    <m/>
    <m/>
    <x v="1"/>
    <n v="0"/>
    <m/>
    <n v="5"/>
    <n v="4"/>
    <n v="3"/>
    <n v="4"/>
    <n v="5"/>
    <n v="2"/>
    <n v="4"/>
    <n v="5"/>
    <n v="3"/>
    <n v="4"/>
    <n v="3"/>
    <n v="4"/>
    <n v="4"/>
    <n v="5"/>
    <n v="5"/>
    <n v="2"/>
    <n v="2"/>
    <n v="4"/>
    <n v="4"/>
    <n v="4"/>
    <n v="2"/>
    <n v="5"/>
    <n v="4"/>
    <n v="3"/>
    <n v="2"/>
    <n v="3"/>
    <n v="4"/>
    <n v="3"/>
    <n v="4"/>
    <n v="3"/>
    <n v="4"/>
    <n v="4"/>
    <n v="4"/>
    <n v="5"/>
    <n v="3"/>
    <n v="3"/>
    <n v="3"/>
    <n v="3"/>
    <n v="3"/>
    <n v="2"/>
    <n v="2"/>
    <n v="4"/>
    <n v="4"/>
    <n v="5"/>
    <n v="4"/>
    <n v="4"/>
    <n v="3"/>
    <n v="3"/>
    <n v="2"/>
    <n v="3"/>
    <n v="4"/>
    <n v="3"/>
    <n v="3"/>
    <n v="2"/>
    <n v="4"/>
    <n v="3"/>
    <n v="4"/>
    <n v="2"/>
    <n v="4"/>
    <n v="4"/>
    <n v="2"/>
    <n v="1"/>
    <n v="3"/>
    <n v="4"/>
    <n v="3"/>
    <n v="3"/>
    <n v="2"/>
    <n v="3"/>
    <n v="4"/>
    <n v="3"/>
    <n v="2"/>
    <n v="2"/>
    <n v="4"/>
    <n v="3"/>
    <n v="1"/>
    <n v="2"/>
    <n v="3"/>
    <n v="3"/>
    <n v="3"/>
    <n v="1"/>
    <n v="2"/>
    <n v="2"/>
    <n v="4"/>
    <n v="3"/>
    <n v="3"/>
    <n v="3"/>
    <n v="2"/>
    <n v="4"/>
    <n v="3"/>
    <n v="2"/>
    <n v="3"/>
    <n v="4"/>
    <n v="2"/>
    <n v="4"/>
    <n v="4"/>
    <n v="4"/>
    <n v="4"/>
    <n v="3"/>
    <n v="2"/>
    <n v="2"/>
    <n v="1"/>
    <n v="4"/>
    <n v="3"/>
    <n v="2"/>
    <n v="2"/>
    <n v="1"/>
    <n v="4"/>
    <n v="3"/>
    <n v="3"/>
    <n v="1"/>
    <n v="3"/>
    <n v="3"/>
    <n v="2"/>
    <n v="2"/>
    <n v="3"/>
    <n v="4"/>
    <n v="3"/>
    <n v="3"/>
    <n v="2"/>
    <n v="3"/>
    <n v="3"/>
    <n v="3.75"/>
    <n v="4.25"/>
    <n v="4.5"/>
    <x v="7"/>
    <n v="2.75"/>
    <x v="6"/>
    <n v="3.75"/>
    <x v="1"/>
    <n v="2.25"/>
    <n v="2.75"/>
    <n v="2.75"/>
    <n v="2.75"/>
    <x v="7"/>
    <n v="3.5"/>
    <n v="3.75"/>
    <n v="2.75"/>
    <x v="8"/>
    <x v="7"/>
    <n v="3.5"/>
    <n v="3.75"/>
    <n v="3.75"/>
    <x v="5"/>
    <n v="3.5"/>
    <n v="3"/>
    <n v="3.75"/>
    <n v="3.25"/>
    <n v="4.75"/>
    <n v="4"/>
    <x v="6"/>
    <n v="3.75"/>
  </r>
  <r>
    <n v="62"/>
    <d v="2023-06-22T16:14:15"/>
    <d v="2023-06-22T16:17:24"/>
    <s v="Consinto em participar no questionário e que os dados recolhidos sejam utilizados para os fins acima referidos."/>
    <s v="54"/>
    <s v="Masculino"/>
    <s v="Num relacionamento (casamento, união de facto, etc.)"/>
    <s v="Sim"/>
    <s v="Doutoramento"/>
    <s v="Engenharia e Tecnologia"/>
    <s v="Trabalhador(a) por conta própria"/>
    <s v="Prof. Universitário "/>
    <s v="Uma vez por dia"/>
    <s v="Dispositivos móveis (telemóvel, tablet);"/>
    <s v="Puzzles;"/>
    <m/>
    <m/>
    <m/>
    <m/>
    <m/>
    <m/>
    <m/>
    <m/>
    <m/>
    <m/>
    <m/>
    <m/>
    <m/>
    <m/>
    <m/>
    <m/>
    <n v="0"/>
    <n v="0.5"/>
    <n v="6.2989899999999999"/>
    <n v="0"/>
    <n v="0"/>
    <m/>
    <m/>
    <n v="8"/>
    <n v="0.25"/>
    <n v="30.633724999999998"/>
    <n v="8.9625000000000004"/>
    <m/>
    <m/>
    <m/>
    <m/>
    <n v="0"/>
    <m/>
    <m/>
    <m/>
    <m/>
    <m/>
    <m/>
    <n v="0"/>
    <n v="1"/>
    <n v="6.6781360000000003"/>
    <n v="0"/>
    <n v="0"/>
    <m/>
    <m/>
    <m/>
    <m/>
    <m/>
    <m/>
    <n v="0"/>
    <n v="1"/>
    <n v="13.439793999999999"/>
    <n v="0"/>
    <m/>
    <m/>
    <m/>
    <m/>
    <n v="0"/>
    <n v="1"/>
    <n v="14.404179000000001"/>
    <n v="0"/>
    <n v="0"/>
    <m/>
    <m/>
    <m/>
    <m/>
    <m/>
    <m/>
    <n v="0"/>
    <n v="0.5"/>
    <n v="16.514841000000001"/>
    <n v="0.3175"/>
    <n v="0"/>
    <m/>
    <m/>
    <x v="2"/>
    <n v="1"/>
    <n v="0"/>
    <n v="0"/>
    <n v="0"/>
    <n v="0"/>
    <n v="0"/>
    <n v="0.12727272727272726"/>
    <n v="0"/>
    <n v="99"/>
    <n v="140"/>
    <n v="0"/>
    <m/>
    <m/>
    <m/>
    <m/>
    <m/>
    <m/>
    <x v="1"/>
    <n v="0"/>
    <m/>
    <n v="3"/>
    <n v="3"/>
    <n v="5"/>
    <n v="3"/>
    <n v="3"/>
    <n v="3"/>
    <n v="1"/>
    <n v="3"/>
    <n v="1"/>
    <n v="3"/>
    <n v="3"/>
    <n v="3"/>
    <n v="3"/>
    <n v="5"/>
    <n v="3"/>
    <n v="3"/>
    <n v="3"/>
    <n v="4"/>
    <n v="1"/>
    <n v="3"/>
    <n v="3"/>
    <n v="3"/>
    <n v="5"/>
    <n v="3"/>
    <n v="3"/>
    <n v="1"/>
    <n v="3"/>
    <n v="3"/>
    <n v="3"/>
    <n v="1"/>
    <n v="1"/>
    <n v="3"/>
    <n v="4"/>
    <n v="4"/>
    <n v="4"/>
    <n v="3"/>
    <n v="3"/>
    <n v="3"/>
    <n v="1"/>
    <n v="3"/>
    <n v="3"/>
    <n v="3"/>
    <n v="3"/>
    <n v="3"/>
    <n v="5"/>
    <n v="3"/>
    <n v="3"/>
    <n v="1"/>
    <n v="1"/>
    <n v="4"/>
    <n v="3"/>
    <n v="3"/>
    <n v="2"/>
    <n v="3"/>
    <n v="3"/>
    <n v="3"/>
    <n v="4"/>
    <n v="4"/>
    <n v="4"/>
    <n v="1"/>
    <n v="1"/>
    <n v="3"/>
    <n v="3"/>
    <n v="5"/>
    <n v="5"/>
    <n v="1"/>
    <n v="4"/>
    <n v="3"/>
    <n v="4"/>
    <n v="1"/>
    <n v="4"/>
    <n v="3"/>
    <n v="3"/>
    <n v="4"/>
    <n v="3"/>
    <n v="2"/>
    <n v="3"/>
    <n v="4"/>
    <n v="1"/>
    <n v="3"/>
    <n v="4"/>
    <n v="5"/>
    <n v="4"/>
    <n v="1"/>
    <n v="3"/>
    <n v="3"/>
    <n v="3"/>
    <n v="3"/>
    <n v="3"/>
    <n v="3"/>
    <n v="1"/>
    <n v="3"/>
    <n v="3"/>
    <n v="4"/>
    <n v="2"/>
    <n v="3"/>
    <n v="3"/>
    <n v="4"/>
    <n v="3"/>
    <n v="3"/>
    <n v="2"/>
    <n v="4"/>
    <n v="3"/>
    <n v="3"/>
    <n v="3"/>
    <n v="1"/>
    <n v="3"/>
    <n v="4"/>
    <n v="3"/>
    <n v="3"/>
    <n v="2"/>
    <n v="4"/>
    <n v="2"/>
    <n v="3"/>
    <n v="2"/>
    <n v="3"/>
    <n v="4"/>
    <n v="3"/>
    <n v="3"/>
    <n v="3"/>
    <n v="1"/>
    <n v="3.75"/>
    <n v="3"/>
    <n v="4.25"/>
    <x v="10"/>
    <n v="3"/>
    <x v="9"/>
    <n v="2"/>
    <x v="1"/>
    <n v="2.75"/>
    <n v="3"/>
    <n v="2.25"/>
    <n v="2.25"/>
    <x v="2"/>
    <n v="2"/>
    <n v="3"/>
    <n v="3"/>
    <x v="7"/>
    <x v="10"/>
    <n v="4"/>
    <n v="3"/>
    <n v="2.75"/>
    <x v="12"/>
    <n v="4.25"/>
    <n v="3.25"/>
    <n v="4"/>
    <n v="4.5"/>
    <n v="3.5"/>
    <n v="4"/>
    <x v="6"/>
    <n v="3.25"/>
  </r>
  <r>
    <n v="63"/>
    <d v="2023-06-22T16:23:48"/>
    <d v="2023-06-22T16:25:28"/>
    <s v="Consinto em participar no questionário e que os dados recolhidos sejam utilizados para os fins acima referidos."/>
    <s v="28"/>
    <s v="Feminino"/>
    <s v="Solteiro(a)"/>
    <s v="Não"/>
    <s v="Mestrado"/>
    <s v="Humanidades"/>
    <s v="Estudante"/>
    <s v="Estudante-Investigadora "/>
    <s v="Já joguei, mas de momento não jogo"/>
    <s v="Não costumo jogar;"/>
    <s v="Estratégia;"/>
    <m/>
    <m/>
    <m/>
    <m/>
    <m/>
    <m/>
    <m/>
    <m/>
    <m/>
    <m/>
    <m/>
    <m/>
    <m/>
    <m/>
    <m/>
    <m/>
    <n v="0"/>
    <n v="1"/>
    <n v="11.703521"/>
    <n v="0"/>
    <n v="1"/>
    <n v="0"/>
    <n v="1"/>
    <m/>
    <m/>
    <m/>
    <m/>
    <n v="0"/>
    <n v="1"/>
    <n v="11.925193999999999"/>
    <n v="0"/>
    <n v="0"/>
    <m/>
    <m/>
    <m/>
    <m/>
    <m/>
    <m/>
    <n v="0"/>
    <n v="1"/>
    <n v="6.8039709999999998"/>
    <n v="0"/>
    <n v="0"/>
    <m/>
    <m/>
    <m/>
    <m/>
    <m/>
    <m/>
    <n v="0"/>
    <n v="1"/>
    <n v="11.960099"/>
    <n v="0"/>
    <m/>
    <m/>
    <m/>
    <m/>
    <n v="0"/>
    <n v="1"/>
    <n v="8.5286960000000001"/>
    <n v="0"/>
    <n v="0"/>
    <m/>
    <m/>
    <m/>
    <m/>
    <m/>
    <m/>
    <n v="0"/>
    <n v="1"/>
    <n v="13.655436"/>
    <n v="7.2499999999999995E-2"/>
    <n v="0"/>
    <m/>
    <m/>
    <x v="0"/>
    <n v="0"/>
    <n v="1"/>
    <n v="0.2"/>
    <n v="0"/>
    <n v="0"/>
    <n v="0.14583333333333334"/>
    <n v="0.32727272727272727"/>
    <n v="0"/>
    <n v="152"/>
    <n v="360"/>
    <n v="0"/>
    <m/>
    <m/>
    <m/>
    <m/>
    <m/>
    <m/>
    <x v="1"/>
    <n v="0"/>
    <m/>
    <n v="5"/>
    <n v="4"/>
    <n v="5"/>
    <n v="2"/>
    <n v="4"/>
    <n v="4"/>
    <n v="1"/>
    <n v="5"/>
    <n v="1"/>
    <n v="4"/>
    <n v="5"/>
    <n v="4"/>
    <n v="5"/>
    <n v="4"/>
    <n v="5"/>
    <n v="3"/>
    <n v="2"/>
    <n v="2"/>
    <n v="1"/>
    <n v="4"/>
    <n v="4"/>
    <n v="5"/>
    <n v="4"/>
    <n v="1"/>
    <n v="2"/>
    <n v="5"/>
    <n v="3"/>
    <n v="4"/>
    <n v="5"/>
    <n v="1"/>
    <n v="4"/>
    <n v="3"/>
    <n v="5"/>
    <n v="2"/>
    <n v="2"/>
    <n v="4"/>
    <n v="2"/>
    <n v="5"/>
    <n v="1"/>
    <n v="4"/>
    <n v="3"/>
    <n v="1"/>
    <n v="5"/>
    <n v="5"/>
    <n v="5"/>
    <n v="4"/>
    <n v="2"/>
    <n v="3"/>
    <n v="1"/>
    <n v="2"/>
    <n v="2"/>
    <n v="4"/>
    <n v="1"/>
    <n v="2"/>
    <n v="3"/>
    <n v="2"/>
    <n v="3"/>
    <n v="4"/>
    <n v="5"/>
    <n v="2"/>
    <n v="4"/>
    <n v="2"/>
    <n v="5"/>
    <n v="2"/>
    <n v="2"/>
    <n v="4"/>
    <n v="4"/>
    <n v="4"/>
    <n v="4"/>
    <n v="1"/>
    <n v="4"/>
    <n v="5"/>
    <n v="2"/>
    <n v="1"/>
    <n v="1"/>
    <n v="2"/>
    <n v="2"/>
    <n v="2"/>
    <n v="3"/>
    <n v="1"/>
    <n v="2"/>
    <n v="2"/>
    <n v="2"/>
    <n v="1"/>
    <n v="1"/>
    <n v="3"/>
    <n v="4"/>
    <n v="1"/>
    <n v="1"/>
    <n v="1"/>
    <n v="4"/>
    <n v="5"/>
    <n v="2"/>
    <n v="4"/>
    <n v="4"/>
    <n v="3"/>
    <n v="1"/>
    <n v="2"/>
    <n v="2"/>
    <n v="1"/>
    <n v="2"/>
    <n v="3"/>
    <n v="3"/>
    <n v="1"/>
    <n v="2"/>
    <n v="1"/>
    <n v="1"/>
    <n v="4"/>
    <n v="2"/>
    <n v="1"/>
    <n v="2"/>
    <n v="2"/>
    <n v="1"/>
    <n v="1"/>
    <n v="1"/>
    <n v="4"/>
    <n v="2"/>
    <n v="1"/>
    <n v="2"/>
    <n v="2"/>
    <n v="2"/>
    <n v="2.75"/>
    <n v="3"/>
    <n v="4.75"/>
    <x v="7"/>
    <n v="2.5"/>
    <x v="8"/>
    <n v="4.5"/>
    <x v="7"/>
    <n v="4"/>
    <n v="3.5"/>
    <n v="4"/>
    <n v="3.75"/>
    <x v="6"/>
    <n v="2.25"/>
    <n v="2.5"/>
    <n v="2"/>
    <x v="7"/>
    <x v="4"/>
    <n v="4.75"/>
    <n v="4"/>
    <n v="5"/>
    <x v="10"/>
    <n v="4.75"/>
    <n v="4.25"/>
    <n v="2"/>
    <n v="5"/>
    <n v="4.5"/>
    <n v="5"/>
    <x v="12"/>
    <n v="4.75"/>
  </r>
  <r>
    <n v="64"/>
    <d v="2023-06-22T16:54:18"/>
    <d v="2023-06-22T16:55:50"/>
    <s v="Consinto em participar no questionário e que os dados recolhidos sejam utilizados para os fins acima referidos."/>
    <s v="31"/>
    <s v="Masculino"/>
    <s v="Solteiro(a)"/>
    <s v="Não"/>
    <s v="Mestrado"/>
    <s v="Engenharia e Tecnologia"/>
    <s v="Trabalhador(a) por conta de outrem"/>
    <s v="Engenheiro Informático"/>
    <s v="Algumas vezes por semana"/>
    <s v="Dispositivos móveis (telemóvel, tablet);"/>
    <s v="Estratégia;Puzzles;Desporto;Aventura;"/>
    <m/>
    <m/>
    <m/>
    <m/>
    <m/>
    <m/>
    <m/>
    <m/>
    <m/>
    <m/>
    <m/>
    <m/>
    <n v="2"/>
    <n v="0"/>
    <m/>
    <n v="2.1"/>
    <n v="0"/>
    <n v="0.5"/>
    <n v="4.0075789999999998"/>
    <n v="0"/>
    <n v="0"/>
    <m/>
    <m/>
    <m/>
    <m/>
    <m/>
    <m/>
    <n v="0"/>
    <n v="1"/>
    <n v="89.926564999999997"/>
    <n v="5.0000000000000001E-3"/>
    <n v="0"/>
    <m/>
    <m/>
    <m/>
    <m/>
    <m/>
    <m/>
    <n v="0"/>
    <n v="1"/>
    <n v="15.489281999999999"/>
    <n v="0"/>
    <n v="0"/>
    <m/>
    <m/>
    <m/>
    <m/>
    <m/>
    <m/>
    <n v="0"/>
    <n v="1"/>
    <n v="15.489281999999999"/>
    <n v="9.2499999999999999E-2"/>
    <m/>
    <m/>
    <m/>
    <m/>
    <n v="0"/>
    <n v="1"/>
    <n v="25.328714999999999"/>
    <n v="0"/>
    <n v="1"/>
    <n v="0"/>
    <n v="1"/>
    <m/>
    <m/>
    <m/>
    <m/>
    <n v="0"/>
    <n v="1"/>
    <n v="17.295947000000002"/>
    <n v="5.7500000000000002E-2"/>
    <n v="0"/>
    <m/>
    <m/>
    <x v="2"/>
    <n v="1"/>
    <n v="1"/>
    <n v="0.2"/>
    <n v="0"/>
    <n v="0"/>
    <n v="0.27083333333333331"/>
    <n v="0.27272727272727271"/>
    <n v="1"/>
    <n v="250"/>
    <n v="400"/>
    <n v="1"/>
    <m/>
    <m/>
    <m/>
    <m/>
    <m/>
    <m/>
    <x v="1"/>
    <n v="0"/>
    <m/>
    <n v="5"/>
    <n v="4"/>
    <n v="2"/>
    <n v="3"/>
    <n v="4"/>
    <n v="2"/>
    <n v="4"/>
    <n v="2"/>
    <n v="1"/>
    <n v="4"/>
    <n v="2"/>
    <n v="4"/>
    <n v="5"/>
    <n v="5"/>
    <n v="4"/>
    <n v="2"/>
    <n v="2"/>
    <n v="4"/>
    <n v="1"/>
    <n v="5"/>
    <n v="4"/>
    <n v="4"/>
    <n v="4"/>
    <n v="1"/>
    <n v="3"/>
    <n v="2"/>
    <n v="4"/>
    <n v="3"/>
    <n v="4"/>
    <n v="1"/>
    <n v="4"/>
    <n v="4"/>
    <n v="1"/>
    <n v="3"/>
    <n v="3"/>
    <n v="2"/>
    <n v="2"/>
    <n v="3"/>
    <n v="1"/>
    <n v="2"/>
    <n v="1"/>
    <n v="3"/>
    <n v="4"/>
    <n v="5"/>
    <n v="4"/>
    <n v="3"/>
    <n v="3"/>
    <n v="2"/>
    <n v="2"/>
    <n v="3"/>
    <n v="3"/>
    <n v="3"/>
    <n v="5"/>
    <n v="3"/>
    <n v="4"/>
    <n v="1"/>
    <n v="4"/>
    <n v="2"/>
    <n v="5"/>
    <n v="2"/>
    <n v="3"/>
    <n v="1"/>
    <n v="2"/>
    <n v="3"/>
    <n v="3"/>
    <n v="2"/>
    <n v="1"/>
    <n v="2"/>
    <n v="4"/>
    <n v="1"/>
    <n v="2"/>
    <n v="2"/>
    <n v="3"/>
    <n v="2"/>
    <n v="1"/>
    <n v="2"/>
    <n v="2"/>
    <n v="4"/>
    <n v="2"/>
    <n v="1"/>
    <n v="2"/>
    <n v="4"/>
    <n v="3"/>
    <n v="3"/>
    <n v="3"/>
    <n v="2"/>
    <n v="2"/>
    <n v="5"/>
    <n v="3"/>
    <n v="1"/>
    <n v="2"/>
    <n v="3"/>
    <n v="2"/>
    <n v="3"/>
    <n v="3"/>
    <n v="3"/>
    <n v="3"/>
    <n v="2"/>
    <n v="3"/>
    <n v="1"/>
    <n v="1"/>
    <n v="4"/>
    <n v="3"/>
    <n v="1"/>
    <n v="1"/>
    <n v="1"/>
    <n v="1"/>
    <n v="4"/>
    <n v="3"/>
    <n v="1"/>
    <n v="1"/>
    <n v="4"/>
    <n v="2"/>
    <n v="3"/>
    <n v="1"/>
    <n v="2"/>
    <n v="3"/>
    <n v="4"/>
    <n v="4"/>
    <n v="1"/>
    <n v="2"/>
    <n v="3.25"/>
    <n v="4.25"/>
    <n v="4.25"/>
    <x v="5"/>
    <n v="3.75"/>
    <x v="10"/>
    <n v="3.75"/>
    <x v="5"/>
    <n v="1.75"/>
    <n v="3"/>
    <n v="2.75"/>
    <n v="2"/>
    <x v="7"/>
    <n v="3.75"/>
    <n v="3.25"/>
    <n v="2.75"/>
    <x v="7"/>
    <x v="1"/>
    <n v="2"/>
    <n v="3"/>
    <n v="4.5"/>
    <x v="2"/>
    <n v="2.75"/>
    <n v="2.5"/>
    <n v="3"/>
    <n v="5"/>
    <n v="5"/>
    <n v="4.75"/>
    <x v="3"/>
    <n v="4.75"/>
  </r>
  <r>
    <n v="65"/>
    <d v="2023-06-22T17:36:13"/>
    <d v="2023-06-22T17:37:38"/>
    <s v="Consinto em participar no questionário e que os dados recolhidos sejam utilizados para os fins acima referidos."/>
    <s v="34"/>
    <s v="Feminino"/>
    <s v="Num relacionamento (casamento, união de facto, etc.)"/>
    <s v="Não"/>
    <s v="Mestrado"/>
    <s v="Ciências naturais"/>
    <s v="Trabalhador(a) por conta de outrem"/>
    <s v="Técnica de investigação "/>
    <s v="Já joguei, mas de momento não jogo"/>
    <s v="Dispositivos móveis (telemóvel, tablet);"/>
    <s v="Puzzles;"/>
    <m/>
    <m/>
    <m/>
    <m/>
    <m/>
    <m/>
    <m/>
    <m/>
    <m/>
    <m/>
    <m/>
    <m/>
    <n v="1"/>
    <n v="0"/>
    <m/>
    <n v="1.05"/>
    <n v="0"/>
    <n v="1"/>
    <n v="10.059786000000001"/>
    <n v="0"/>
    <n v="0"/>
    <m/>
    <m/>
    <n v="0"/>
    <n v="0.125"/>
    <n v="18.611511"/>
    <n v="0.3075"/>
    <m/>
    <m/>
    <m/>
    <m/>
    <n v="0"/>
    <m/>
    <m/>
    <n v="2"/>
    <n v="0"/>
    <m/>
    <n v="2.2000000000000002"/>
    <n v="0"/>
    <n v="1"/>
    <n v="5.2669700000000006"/>
    <n v="0"/>
    <n v="0"/>
    <m/>
    <m/>
    <m/>
    <m/>
    <m/>
    <m/>
    <n v="0"/>
    <n v="1"/>
    <n v="14.124542999999999"/>
    <n v="0"/>
    <m/>
    <m/>
    <m/>
    <m/>
    <n v="0"/>
    <n v="1"/>
    <n v="13.919270000000001"/>
    <n v="0"/>
    <n v="1"/>
    <n v="1"/>
    <n v="0.5"/>
    <m/>
    <m/>
    <m/>
    <m/>
    <n v="0"/>
    <n v="0.5"/>
    <n v="23.640937000000001"/>
    <n v="9.5000000000000001E-2"/>
    <n v="0"/>
    <m/>
    <m/>
    <x v="3"/>
    <n v="2"/>
    <n v="1"/>
    <n v="0.2"/>
    <n v="0"/>
    <n v="0"/>
    <n v="0.14583333333333334"/>
    <n v="0.37272727272727274"/>
    <n v="0"/>
    <n v="183"/>
    <n v="410"/>
    <n v="0"/>
    <m/>
    <m/>
    <m/>
    <m/>
    <m/>
    <m/>
    <x v="1"/>
    <n v="0"/>
    <m/>
    <n v="5"/>
    <n v="3"/>
    <n v="2"/>
    <n v="4"/>
    <n v="3"/>
    <n v="1"/>
    <n v="2"/>
    <n v="5"/>
    <n v="3"/>
    <n v="1"/>
    <n v="3"/>
    <n v="4"/>
    <n v="4"/>
    <n v="4"/>
    <n v="4"/>
    <n v="4"/>
    <n v="2"/>
    <n v="2"/>
    <n v="1"/>
    <n v="3"/>
    <n v="4"/>
    <n v="4"/>
    <n v="3"/>
    <n v="1"/>
    <n v="2"/>
    <n v="4"/>
    <n v="3"/>
    <n v="4"/>
    <n v="5"/>
    <n v="2"/>
    <n v="4"/>
    <n v="3"/>
    <n v="2"/>
    <n v="3"/>
    <n v="4"/>
    <n v="1"/>
    <n v="2"/>
    <n v="4"/>
    <n v="2"/>
    <n v="5"/>
    <n v="2"/>
    <n v="2"/>
    <n v="4"/>
    <n v="4"/>
    <n v="4"/>
    <n v="5"/>
    <n v="3"/>
    <n v="5"/>
    <n v="1"/>
    <n v="3"/>
    <n v="4"/>
    <n v="2"/>
    <n v="2"/>
    <n v="3"/>
    <n v="4"/>
    <n v="3"/>
    <n v="4"/>
    <n v="5"/>
    <n v="5"/>
    <n v="2"/>
    <n v="4"/>
    <n v="3"/>
    <n v="3"/>
    <n v="4"/>
    <n v="4"/>
    <n v="2"/>
    <n v="3"/>
    <n v="3"/>
    <n v="4"/>
    <n v="1"/>
    <n v="3"/>
    <n v="4"/>
    <n v="3"/>
    <n v="3"/>
    <n v="1"/>
    <n v="1"/>
    <n v="4"/>
    <n v="2"/>
    <n v="4"/>
    <n v="1"/>
    <n v="3"/>
    <n v="4"/>
    <n v="2"/>
    <n v="4"/>
    <n v="3"/>
    <n v="4"/>
    <n v="3"/>
    <n v="3"/>
    <n v="1"/>
    <n v="1"/>
    <n v="3"/>
    <n v="4"/>
    <n v="3"/>
    <n v="4"/>
    <n v="2"/>
    <n v="3"/>
    <n v="4"/>
    <n v="5"/>
    <n v="2"/>
    <n v="2"/>
    <n v="5"/>
    <n v="4"/>
    <n v="4"/>
    <n v="1"/>
    <n v="2"/>
    <n v="2"/>
    <n v="1"/>
    <n v="4"/>
    <n v="4"/>
    <n v="1"/>
    <n v="2"/>
    <n v="4"/>
    <n v="1"/>
    <n v="3"/>
    <n v="2"/>
    <n v="3"/>
    <n v="2"/>
    <n v="3"/>
    <n v="1"/>
    <n v="2"/>
    <n v="2"/>
    <n v="3.5"/>
    <n v="1.5"/>
    <n v="4.25"/>
    <x v="10"/>
    <n v="2.75"/>
    <x v="8"/>
    <n v="4.25"/>
    <x v="13"/>
    <n v="2.75"/>
    <n v="4.5"/>
    <n v="2.5"/>
    <n v="3.5"/>
    <x v="2"/>
    <n v="2"/>
    <n v="2.75"/>
    <n v="2.25"/>
    <x v="3"/>
    <x v="10"/>
    <n v="2.75"/>
    <n v="4"/>
    <n v="4"/>
    <x v="4"/>
    <n v="3"/>
    <n v="4.75"/>
    <n v="3.75"/>
    <n v="4"/>
    <n v="4.25"/>
    <n v="5"/>
    <x v="1"/>
    <n v="4.75"/>
  </r>
  <r>
    <n v="66"/>
    <d v="2023-06-22T17:35:49"/>
    <d v="2023-06-22T17:37:44"/>
    <s v="Consinto em participar no questionário e que os dados recolhidos sejam utilizados para os fins acima referidos."/>
    <s v="38"/>
    <s v="Feminino"/>
    <s v="Num relacionamento (casamento, união de facto, etc.)"/>
    <s v="Não"/>
    <s v="Mestrado"/>
    <s v="Ciências naturais"/>
    <s v="Trabalhador(a) por conta de outrem"/>
    <s v="Técnica de Laboratório "/>
    <s v="Uma vez por dia"/>
    <s v="Dispositivos móveis (telemóvel, tablet);"/>
    <s v="Plataforma;Puzzles;"/>
    <m/>
    <m/>
    <m/>
    <m/>
    <m/>
    <m/>
    <m/>
    <m/>
    <m/>
    <m/>
    <m/>
    <m/>
    <m/>
    <m/>
    <m/>
    <m/>
    <n v="0"/>
    <n v="1"/>
    <n v="14.036716"/>
    <n v="0"/>
    <n v="0"/>
    <m/>
    <m/>
    <n v="5"/>
    <n v="0.375"/>
    <m/>
    <n v="4.7"/>
    <n v="0"/>
    <n v="0.33333333333333331"/>
    <n v="7.7035130000000001"/>
    <n v="0.42499999999999999"/>
    <n v="0"/>
    <m/>
    <m/>
    <m/>
    <m/>
    <m/>
    <m/>
    <n v="0"/>
    <n v="1"/>
    <n v="9.3062639999999988"/>
    <n v="0"/>
    <n v="0"/>
    <m/>
    <m/>
    <m/>
    <m/>
    <m/>
    <m/>
    <n v="0"/>
    <n v="1"/>
    <n v="12.032763999999998"/>
    <n v="0"/>
    <m/>
    <m/>
    <m/>
    <m/>
    <n v="0"/>
    <n v="0.5"/>
    <n v="13.639168"/>
    <n v="0"/>
    <n v="0"/>
    <m/>
    <m/>
    <m/>
    <m/>
    <m/>
    <m/>
    <n v="0"/>
    <n v="1"/>
    <n v="18.552606999999998"/>
    <n v="6.5000000000000002E-2"/>
    <n v="0"/>
    <m/>
    <m/>
    <x v="2"/>
    <n v="1"/>
    <n v="0"/>
    <n v="0"/>
    <n v="0"/>
    <n v="0"/>
    <n v="0.10416666666666667"/>
    <n v="0.2"/>
    <n v="0"/>
    <n v="116"/>
    <n v="220"/>
    <n v="0"/>
    <m/>
    <m/>
    <m/>
    <m/>
    <m/>
    <m/>
    <x v="1"/>
    <n v="0"/>
    <s v="Possivel file ideal.csv"/>
    <n v="4"/>
    <n v="4"/>
    <n v="4"/>
    <n v="4"/>
    <n v="4"/>
    <n v="2"/>
    <n v="1"/>
    <n v="4"/>
    <n v="1"/>
    <n v="4"/>
    <n v="2"/>
    <n v="4"/>
    <n v="2"/>
    <n v="3"/>
    <n v="5"/>
    <n v="5"/>
    <n v="2"/>
    <n v="3"/>
    <n v="1"/>
    <n v="4"/>
    <n v="2"/>
    <n v="4"/>
    <n v="3"/>
    <n v="1"/>
    <n v="2"/>
    <n v="1"/>
    <n v="2"/>
    <n v="4"/>
    <n v="4"/>
    <n v="2"/>
    <n v="2"/>
    <n v="4"/>
    <n v="2"/>
    <n v="4"/>
    <n v="4"/>
    <n v="2"/>
    <n v="1"/>
    <n v="4"/>
    <n v="1"/>
    <n v="2"/>
    <n v="2"/>
    <n v="2"/>
    <n v="4"/>
    <n v="5"/>
    <n v="5"/>
    <n v="4"/>
    <n v="3"/>
    <n v="2"/>
    <n v="2"/>
    <n v="4"/>
    <n v="2"/>
    <n v="4"/>
    <n v="5"/>
    <n v="4"/>
    <n v="4"/>
    <n v="2"/>
    <n v="3"/>
    <n v="4"/>
    <n v="4"/>
    <n v="2"/>
    <n v="2"/>
    <n v="3"/>
    <n v="2"/>
    <n v="4"/>
    <n v="2"/>
    <n v="4"/>
    <n v="2"/>
    <n v="4"/>
    <n v="4"/>
    <n v="2"/>
    <n v="2"/>
    <n v="2"/>
    <n v="4"/>
    <n v="2"/>
    <n v="2"/>
    <n v="2"/>
    <n v="4"/>
    <n v="2"/>
    <n v="2"/>
    <n v="1"/>
    <n v="2"/>
    <n v="2"/>
    <n v="2"/>
    <n v="2"/>
    <n v="4"/>
    <n v="4"/>
    <n v="2"/>
    <n v="4"/>
    <n v="2"/>
    <n v="2"/>
    <n v="2"/>
    <n v="4"/>
    <n v="2"/>
    <n v="2"/>
    <n v="2"/>
    <n v="4"/>
    <n v="4"/>
    <n v="5"/>
    <n v="4"/>
    <n v="2"/>
    <n v="2"/>
    <n v="4"/>
    <n v="4"/>
    <n v="1"/>
    <n v="2"/>
    <n v="2"/>
    <n v="1"/>
    <n v="4"/>
    <n v="3"/>
    <n v="2"/>
    <n v="1"/>
    <n v="4"/>
    <n v="1"/>
    <n v="4"/>
    <n v="4"/>
    <n v="2"/>
    <n v="2"/>
    <n v="5"/>
    <n v="2"/>
    <n v="2"/>
    <n v="2"/>
    <n v="3.5"/>
    <n v="4"/>
    <n v="4.5"/>
    <x v="5"/>
    <n v="3"/>
    <x v="2"/>
    <n v="3"/>
    <x v="1"/>
    <n v="2"/>
    <n v="4.5"/>
    <n v="3"/>
    <n v="2.25"/>
    <x v="6"/>
    <n v="1.75"/>
    <n v="3"/>
    <n v="2.25"/>
    <x v="2"/>
    <x v="8"/>
    <n v="2.5"/>
    <n v="3"/>
    <n v="3.75"/>
    <x v="11"/>
    <n v="2.5"/>
    <n v="4"/>
    <n v="4"/>
    <n v="4.5"/>
    <n v="4"/>
    <n v="4.5"/>
    <x v="7"/>
    <n v="4"/>
  </r>
  <r>
    <n v="68"/>
    <d v="2023-06-22T18:20:30"/>
    <d v="2023-06-22T18:22:29"/>
    <s v="Consinto em participar no questionário e que os dados recolhidos sejam utilizados para os fins acima referidos."/>
    <s v="20"/>
    <s v="Masculino"/>
    <s v="Num relacionamento (casamento, união de facto, etc.)"/>
    <s v="Não"/>
    <s v="Licenciatura (3-5 anos)"/>
    <s v="Engenharia e Tecnologia"/>
    <s v="Estudante"/>
    <s v="Estudante"/>
    <s v="Já joguei, mas de momento não jogo"/>
    <s v="Consolas fixas (XBox, Playstation...);Computador (portátil, desktop...);Dispositivos móveis (telemóvel, tablet);"/>
    <s v="Acção;Aventura;Desporto;RPG/MMORPG;"/>
    <m/>
    <m/>
    <m/>
    <m/>
    <m/>
    <m/>
    <m/>
    <m/>
    <m/>
    <m/>
    <m/>
    <m/>
    <m/>
    <m/>
    <m/>
    <m/>
    <n v="0"/>
    <n v="1"/>
    <n v="16.351680999999999"/>
    <n v="0"/>
    <n v="1"/>
    <n v="0"/>
    <n v="0.6"/>
    <n v="3"/>
    <n v="0.16666666666666666"/>
    <m/>
    <n v="3.3000000000000003"/>
    <n v="0"/>
    <n v="1"/>
    <n v="8.3023349999999994"/>
    <n v="3.2500000000000001E-2"/>
    <n v="0"/>
    <m/>
    <m/>
    <m/>
    <m/>
    <m/>
    <m/>
    <n v="0"/>
    <n v="1"/>
    <n v="7.7969280000000003"/>
    <n v="0"/>
    <n v="0"/>
    <m/>
    <m/>
    <n v="1"/>
    <n v="0.6"/>
    <n v="36.969004999999996"/>
    <n v="1.2"/>
    <n v="0"/>
    <n v="1"/>
    <n v="9.416735000000001"/>
    <n v="0"/>
    <m/>
    <m/>
    <m/>
    <m/>
    <n v="0"/>
    <n v="1"/>
    <n v="7.8210649999999999"/>
    <n v="0"/>
    <n v="0"/>
    <m/>
    <m/>
    <n v="8"/>
    <n v="0.6"/>
    <m/>
    <n v="8.4"/>
    <n v="0"/>
    <n v="1"/>
    <n v="14.272242"/>
    <n v="0.105"/>
    <n v="0"/>
    <m/>
    <m/>
    <x v="3"/>
    <n v="2"/>
    <n v="1"/>
    <n v="0.2"/>
    <n v="0"/>
    <n v="0"/>
    <n v="0.1875"/>
    <n v="0.3"/>
    <n v="0"/>
    <n v="134"/>
    <n v="330"/>
    <n v="0"/>
    <n v="0.95833333333333337"/>
    <n v="0.98181818181818181"/>
    <n v="2"/>
    <n v="300"/>
    <n v="1280"/>
    <n v="2"/>
    <x v="0"/>
    <n v="0"/>
    <m/>
    <n v="5"/>
    <n v="2"/>
    <n v="2"/>
    <n v="4"/>
    <n v="4"/>
    <n v="1"/>
    <n v="3"/>
    <n v="4"/>
    <n v="1"/>
    <n v="3"/>
    <n v="3"/>
    <n v="4"/>
    <n v="4"/>
    <n v="5"/>
    <n v="4"/>
    <n v="5"/>
    <n v="5"/>
    <n v="5"/>
    <n v="3"/>
    <n v="5"/>
    <n v="3"/>
    <n v="5"/>
    <n v="2"/>
    <n v="2"/>
    <n v="4"/>
    <n v="2"/>
    <n v="3"/>
    <n v="4"/>
    <n v="5"/>
    <n v="4"/>
    <n v="5"/>
    <n v="3"/>
    <n v="4"/>
    <n v="4"/>
    <n v="3"/>
    <n v="1"/>
    <n v="1"/>
    <n v="3"/>
    <n v="1"/>
    <n v="4"/>
    <n v="2"/>
    <n v="2"/>
    <n v="4"/>
    <n v="5"/>
    <n v="4"/>
    <n v="4"/>
    <n v="3"/>
    <n v="5"/>
    <n v="1"/>
    <n v="2"/>
    <n v="2"/>
    <n v="4"/>
    <n v="3"/>
    <n v="2"/>
    <n v="4"/>
    <n v="2"/>
    <n v="4"/>
    <n v="4"/>
    <n v="4"/>
    <n v="5"/>
    <n v="5"/>
    <n v="4"/>
    <n v="4"/>
    <n v="4"/>
    <n v="4"/>
    <n v="2"/>
    <n v="1"/>
    <n v="4"/>
    <n v="4"/>
    <n v="1"/>
    <n v="4"/>
    <n v="2"/>
    <n v="1"/>
    <n v="2"/>
    <n v="1"/>
    <n v="1"/>
    <n v="5"/>
    <n v="4"/>
    <n v="5"/>
    <n v="1"/>
    <n v="2"/>
    <n v="2"/>
    <n v="2"/>
    <n v="5"/>
    <n v="3"/>
    <n v="1"/>
    <n v="4"/>
    <n v="4"/>
    <n v="1"/>
    <n v="1"/>
    <n v="4"/>
    <n v="2"/>
    <n v="1"/>
    <n v="4"/>
    <n v="1"/>
    <n v="4"/>
    <n v="5"/>
    <n v="5"/>
    <n v="3"/>
    <n v="1"/>
    <n v="3"/>
    <n v="4"/>
    <n v="4"/>
    <n v="1"/>
    <n v="2"/>
    <n v="3"/>
    <n v="1"/>
    <n v="5"/>
    <n v="4"/>
    <n v="1"/>
    <n v="2"/>
    <n v="4"/>
    <n v="1"/>
    <n v="2"/>
    <n v="2"/>
    <n v="1"/>
    <n v="3"/>
    <n v="4"/>
    <n v="2"/>
    <n v="1"/>
    <n v="4"/>
    <n v="3.75"/>
    <n v="2.5"/>
    <n v="4"/>
    <x v="8"/>
    <n v="4.5"/>
    <x v="13"/>
    <n v="4.25"/>
    <x v="10"/>
    <n v="2.25"/>
    <n v="4.75"/>
    <n v="3.25"/>
    <n v="2.75"/>
    <x v="2"/>
    <n v="2.5"/>
    <n v="2.25"/>
    <n v="3.25"/>
    <x v="7"/>
    <x v="7"/>
    <n v="3.5"/>
    <n v="3"/>
    <n v="4.25"/>
    <x v="3"/>
    <n v="2.5"/>
    <n v="4.25"/>
    <n v="4.25"/>
    <n v="5"/>
    <n v="4.75"/>
    <n v="4.5"/>
    <x v="1"/>
    <n v="4.75"/>
  </r>
  <r>
    <n v="69"/>
    <d v="2023-06-22T18:20:36"/>
    <d v="2023-06-22T18:22:48"/>
    <s v="Consinto em participar no questionário e que os dados recolhidos sejam utilizados para os fins acima referidos."/>
    <s v="21"/>
    <s v="Feminino"/>
    <s v="Solteiro(a)"/>
    <s v="Não"/>
    <s v="Licenciatura (3-5 anos)"/>
    <s v="Engenharia e Tecnologia"/>
    <s v="Estudante"/>
    <s v="Estudante"/>
    <s v="Já joguei, mas de momento não jogo"/>
    <s v="Computador (portátil, desktop...);"/>
    <s v="Aventura;Acção;Estratégia;Puzzles;"/>
    <m/>
    <m/>
    <m/>
    <m/>
    <n v="1"/>
    <n v="0"/>
    <n v="7.9801890000000002"/>
    <n v="0"/>
    <n v="0"/>
    <n v="0.125"/>
    <n v="16.814049999999998"/>
    <n v="0.3725"/>
    <n v="1"/>
    <n v="0.2"/>
    <m/>
    <n v="1.05"/>
    <n v="0"/>
    <n v="1"/>
    <n v="12.542384"/>
    <n v="0"/>
    <n v="1"/>
    <n v="0"/>
    <n v="1"/>
    <n v="4"/>
    <n v="0.625"/>
    <n v="17.092603999999998"/>
    <n v="4.5"/>
    <m/>
    <m/>
    <m/>
    <m/>
    <n v="0"/>
    <m/>
    <m/>
    <n v="0"/>
    <n v="0.75"/>
    <n v="13.026736000000001"/>
    <n v="0.44750000000000001"/>
    <m/>
    <m/>
    <m/>
    <m/>
    <n v="1"/>
    <n v="0"/>
    <n v="1"/>
    <n v="1"/>
    <n v="1"/>
    <n v="64.059336999999999"/>
    <n v="1.9500000000000002"/>
    <m/>
    <m/>
    <m/>
    <m/>
    <n v="0"/>
    <n v="1"/>
    <n v="9.2705139999999986"/>
    <n v="0"/>
    <m/>
    <m/>
    <m/>
    <m/>
    <n v="0"/>
    <m/>
    <m/>
    <n v="1"/>
    <n v="0.6"/>
    <n v="14.842051"/>
    <n v="1.05"/>
    <m/>
    <m/>
    <m/>
    <m/>
    <n v="0"/>
    <m/>
    <m/>
    <x v="6"/>
    <n v="2"/>
    <n v="2"/>
    <n v="0.4"/>
    <n v="0"/>
    <n v="1"/>
    <n v="1"/>
    <n v="0.98181818181818181"/>
    <n v="2"/>
    <n v="422"/>
    <n v="1152"/>
    <n v="2"/>
    <m/>
    <m/>
    <m/>
    <m/>
    <m/>
    <m/>
    <x v="1"/>
    <n v="0"/>
    <m/>
    <n v="5"/>
    <n v="1"/>
    <n v="5"/>
    <n v="2"/>
    <n v="5"/>
    <n v="2"/>
    <n v="4"/>
    <n v="5"/>
    <n v="1"/>
    <n v="2"/>
    <n v="5"/>
    <n v="5"/>
    <n v="3"/>
    <n v="5"/>
    <n v="5"/>
    <n v="5"/>
    <n v="5"/>
    <n v="4"/>
    <n v="5"/>
    <n v="4"/>
    <n v="5"/>
    <n v="4"/>
    <n v="4"/>
    <n v="1"/>
    <n v="3"/>
    <n v="2"/>
    <n v="3"/>
    <n v="1"/>
    <n v="5"/>
    <n v="2"/>
    <n v="5"/>
    <n v="2"/>
    <n v="5"/>
    <n v="2"/>
    <n v="4"/>
    <n v="2"/>
    <n v="1"/>
    <n v="5"/>
    <n v="1"/>
    <n v="5"/>
    <n v="4"/>
    <n v="5"/>
    <n v="4"/>
    <n v="5"/>
    <n v="5"/>
    <n v="4"/>
    <n v="4"/>
    <n v="2"/>
    <n v="1"/>
    <n v="5"/>
    <n v="3"/>
    <n v="4"/>
    <n v="5"/>
    <n v="1"/>
    <n v="4"/>
    <n v="1"/>
    <n v="3"/>
    <n v="5"/>
    <n v="5"/>
    <n v="1"/>
    <n v="5"/>
    <n v="1"/>
    <n v="5"/>
    <n v="2"/>
    <n v="5"/>
    <n v="2"/>
    <n v="1"/>
    <n v="2"/>
    <n v="4"/>
    <n v="1"/>
    <n v="5"/>
    <n v="5"/>
    <n v="5"/>
    <n v="1"/>
    <n v="1"/>
    <n v="1"/>
    <n v="5"/>
    <n v="2"/>
    <n v="1"/>
    <n v="1"/>
    <n v="1"/>
    <n v="1"/>
    <n v="3"/>
    <n v="1"/>
    <n v="1"/>
    <n v="5"/>
    <n v="1"/>
    <n v="3"/>
    <n v="1"/>
    <n v="1"/>
    <n v="4"/>
    <n v="2"/>
    <n v="4"/>
    <n v="5"/>
    <n v="4"/>
    <n v="5"/>
    <n v="5"/>
    <n v="1"/>
    <n v="1"/>
    <n v="1"/>
    <n v="4"/>
    <n v="1"/>
    <n v="1"/>
    <n v="1"/>
    <n v="1"/>
    <n v="1"/>
    <n v="1"/>
    <n v="4"/>
    <n v="1"/>
    <n v="1"/>
    <n v="1"/>
    <n v="2"/>
    <n v="2"/>
    <n v="4"/>
    <n v="1"/>
    <n v="5"/>
    <n v="4"/>
    <n v="3"/>
    <n v="1"/>
    <n v="4"/>
    <n v="2"/>
    <n v="4.75"/>
    <n v="1.5"/>
    <n v="5"/>
    <x v="6"/>
    <n v="2.25"/>
    <x v="8"/>
    <n v="4.25"/>
    <x v="8"/>
    <n v="4.75"/>
    <n v="4.75"/>
    <n v="4.25"/>
    <n v="1.5"/>
    <x v="10"/>
    <n v="3.75"/>
    <n v="5"/>
    <n v="3.25"/>
    <x v="6"/>
    <x v="11"/>
    <n v="5"/>
    <n v="4.75"/>
    <n v="4.25"/>
    <x v="13"/>
    <n v="3"/>
    <n v="4"/>
    <n v="2"/>
    <n v="5"/>
    <n v="5"/>
    <n v="4"/>
    <x v="11"/>
    <n v="4.25"/>
  </r>
  <r>
    <n v="70"/>
    <d v="2023-06-22T18:22:22"/>
    <d v="2023-06-22T18:25:19"/>
    <s v="Consinto em participar no questionário e que os dados recolhidos sejam utilizados para os fins acima referidos."/>
    <s v="24"/>
    <s v="Masculino"/>
    <s v="Solteiro(a)"/>
    <s v="Não"/>
    <s v="Licenciatura (3-5 anos)"/>
    <s v="Engenharia e Tecnologia"/>
    <s v="Estudante"/>
    <s v="Estudante"/>
    <s v="Algumas vezes por dia"/>
    <s v="Computador (portátil, desktop...);Consolas fixas (XBox, Playstation...);Consolas portáteis (Nintendo switch, PSP, Wii U, etc..);Dispositivos móveis (telemóvel, tablet);"/>
    <s v="Aventura;Acção;Batalha/luta;Estratégia;Fantasia;Multiplayer;Plataforma;Puzzles;RPG/MMORPG;Simulação;Desporto;"/>
    <m/>
    <m/>
    <m/>
    <m/>
    <m/>
    <m/>
    <m/>
    <m/>
    <m/>
    <m/>
    <m/>
    <m/>
    <n v="0"/>
    <n v="1"/>
    <n v="9.3280189999999994"/>
    <n v="0"/>
    <m/>
    <m/>
    <m/>
    <m/>
    <n v="1"/>
    <n v="0"/>
    <n v="1"/>
    <n v="4"/>
    <n v="0.125"/>
    <m/>
    <n v="4.4000000000000004"/>
    <n v="0"/>
    <n v="1"/>
    <n v="5.0658300000000001"/>
    <n v="0.11749999999999999"/>
    <n v="0"/>
    <m/>
    <m/>
    <m/>
    <m/>
    <m/>
    <m/>
    <n v="0"/>
    <n v="1"/>
    <n v="5.571987"/>
    <n v="0"/>
    <n v="0"/>
    <m/>
    <m/>
    <m/>
    <m/>
    <m/>
    <m/>
    <n v="0"/>
    <n v="1"/>
    <n v="10.104058"/>
    <n v="3.7499999999999999E-2"/>
    <m/>
    <m/>
    <m/>
    <m/>
    <n v="0"/>
    <n v="1"/>
    <n v="8.9766020000000015"/>
    <n v="0"/>
    <n v="0"/>
    <m/>
    <m/>
    <m/>
    <m/>
    <m/>
    <m/>
    <n v="0"/>
    <n v="0.5"/>
    <n v="12.124746"/>
    <n v="0.125"/>
    <n v="0"/>
    <m/>
    <m/>
    <x v="1"/>
    <n v="1"/>
    <n v="1"/>
    <n v="0.2"/>
    <n v="0"/>
    <n v="0"/>
    <n v="1"/>
    <n v="1"/>
    <n v="3"/>
    <n v="100"/>
    <n v="1400"/>
    <n v="3"/>
    <n v="4.1666666666666664E-2"/>
    <n v="0.20909090909090908"/>
    <n v="0"/>
    <n v="81"/>
    <n v="230"/>
    <n v="0"/>
    <x v="0"/>
    <n v="1"/>
    <m/>
    <n v="5"/>
    <n v="5"/>
    <n v="5"/>
    <n v="5"/>
    <n v="5"/>
    <n v="1"/>
    <n v="3"/>
    <n v="4"/>
    <n v="1"/>
    <n v="2"/>
    <n v="1"/>
    <n v="5"/>
    <n v="5"/>
    <n v="5"/>
    <n v="5"/>
    <n v="1"/>
    <n v="4"/>
    <n v="5"/>
    <n v="1"/>
    <n v="5"/>
    <n v="4"/>
    <n v="5"/>
    <n v="4"/>
    <n v="5"/>
    <n v="5"/>
    <n v="1"/>
    <n v="5"/>
    <n v="1"/>
    <n v="4"/>
    <n v="1"/>
    <n v="1"/>
    <n v="5"/>
    <n v="5"/>
    <n v="5"/>
    <n v="5"/>
    <n v="1"/>
    <n v="5"/>
    <n v="1"/>
    <n v="1"/>
    <n v="5"/>
    <n v="1"/>
    <n v="5"/>
    <n v="5"/>
    <n v="5"/>
    <n v="5"/>
    <n v="1"/>
    <n v="5"/>
    <n v="1"/>
    <n v="1"/>
    <n v="5"/>
    <n v="2"/>
    <n v="5"/>
    <n v="3"/>
    <n v="5"/>
    <n v="5"/>
    <n v="1"/>
    <n v="5"/>
    <n v="5"/>
    <n v="5"/>
    <n v="1"/>
    <n v="5"/>
    <n v="1"/>
    <n v="5"/>
    <n v="5"/>
    <n v="5"/>
    <n v="1"/>
    <n v="3"/>
    <n v="2"/>
    <n v="4"/>
    <n v="1"/>
    <n v="1"/>
    <n v="1"/>
    <n v="5"/>
    <n v="5"/>
    <n v="1"/>
    <n v="2"/>
    <n v="1"/>
    <n v="5"/>
    <n v="1"/>
    <n v="1"/>
    <n v="1"/>
    <n v="1"/>
    <n v="5"/>
    <n v="1"/>
    <n v="5"/>
    <n v="4"/>
    <n v="1"/>
    <n v="5"/>
    <n v="1"/>
    <n v="1"/>
    <n v="1"/>
    <n v="1"/>
    <n v="1"/>
    <n v="5"/>
    <n v="1"/>
    <n v="5"/>
    <n v="5"/>
    <n v="1"/>
    <n v="4"/>
    <n v="1"/>
    <n v="1"/>
    <n v="1"/>
    <n v="1"/>
    <n v="1"/>
    <n v="1"/>
    <n v="1"/>
    <n v="5"/>
    <n v="5"/>
    <n v="3"/>
    <n v="1"/>
    <n v="4"/>
    <n v="5"/>
    <n v="1"/>
    <n v="1"/>
    <n v="2"/>
    <n v="1"/>
    <n v="1"/>
    <n v="5"/>
    <n v="1"/>
    <n v="1"/>
    <n v="1"/>
    <n v="5"/>
    <n v="3.25"/>
    <n v="4.75"/>
    <x v="5"/>
    <n v="4.25"/>
    <x v="9"/>
    <n v="3"/>
    <x v="6"/>
    <n v="2"/>
    <n v="1"/>
    <n v="3.5"/>
    <n v="2"/>
    <x v="11"/>
    <n v="4"/>
    <n v="5"/>
    <n v="3.75"/>
    <x v="1"/>
    <x v="12"/>
    <n v="5"/>
    <n v="2.75"/>
    <n v="4"/>
    <x v="13"/>
    <n v="4.25"/>
    <n v="4"/>
    <n v="5"/>
    <n v="5"/>
    <n v="5"/>
    <n v="5"/>
    <x v="13"/>
    <n v="4.75"/>
  </r>
  <r>
    <n v="71"/>
    <d v="2023-06-23T10:08:44"/>
    <d v="2023-06-23T10:10:20"/>
    <s v="Consinto em participar no questionário e que os dados recolhidos sejam utilizados para os fins acima referidos."/>
    <s v="48"/>
    <s v="Masculino"/>
    <s v="Num relacionamento (casamento, união de facto, etc.)"/>
    <s v="Não"/>
    <s v="Doutoramento"/>
    <s v="Ciências exatas"/>
    <s v="Trabalhador(a) por conta de outrem"/>
    <s v="Professor ensino superior"/>
    <s v="Outra frequência"/>
    <s v="Não costumo jogar;"/>
    <s v="Nenhum;"/>
    <m/>
    <m/>
    <m/>
    <m/>
    <m/>
    <m/>
    <m/>
    <m/>
    <m/>
    <m/>
    <m/>
    <m/>
    <n v="1"/>
    <n v="0.6"/>
    <m/>
    <n v="1.05"/>
    <n v="0"/>
    <n v="1"/>
    <n v="30.957851999999999"/>
    <n v="0"/>
    <n v="1"/>
    <n v="0"/>
    <n v="1"/>
    <n v="4"/>
    <n v="0.375"/>
    <n v="87.964169999999996"/>
    <n v="4.4000000000000004"/>
    <m/>
    <m/>
    <m/>
    <m/>
    <n v="0"/>
    <m/>
    <m/>
    <m/>
    <m/>
    <m/>
    <m/>
    <n v="0"/>
    <n v="1"/>
    <n v="11.123031999999998"/>
    <n v="0"/>
    <n v="0"/>
    <m/>
    <m/>
    <m/>
    <m/>
    <m/>
    <m/>
    <n v="0"/>
    <n v="1"/>
    <n v="23.058868999999998"/>
    <n v="0.54999999999999905"/>
    <m/>
    <m/>
    <m/>
    <m/>
    <n v="0"/>
    <n v="1"/>
    <n v="19.020615000000003"/>
    <n v="0"/>
    <n v="2"/>
    <n v="2"/>
    <n v="0.16666666666666666"/>
    <m/>
    <m/>
    <m/>
    <m/>
    <n v="0"/>
    <n v="1"/>
    <n v="18.670598000000002"/>
    <n v="8.2500000000000004E-2"/>
    <n v="0"/>
    <m/>
    <m/>
    <x v="1"/>
    <n v="1"/>
    <n v="2"/>
    <n v="0.4"/>
    <n v="0"/>
    <n v="0"/>
    <n v="0.15"/>
    <n v="0.35"/>
    <n v="0"/>
    <n v="216"/>
    <n v="390"/>
    <n v="0"/>
    <m/>
    <m/>
    <m/>
    <m/>
    <m/>
    <m/>
    <x v="1"/>
    <n v="0"/>
    <m/>
    <n v="4"/>
    <n v="4"/>
    <n v="4"/>
    <n v="3"/>
    <n v="5"/>
    <n v="3"/>
    <n v="3"/>
    <n v="5"/>
    <n v="2"/>
    <n v="3"/>
    <n v="2"/>
    <n v="5"/>
    <n v="3"/>
    <n v="4"/>
    <n v="5"/>
    <n v="1"/>
    <n v="3"/>
    <n v="4"/>
    <n v="1"/>
    <n v="4"/>
    <n v="3"/>
    <n v="4"/>
    <n v="5"/>
    <n v="2"/>
    <n v="3"/>
    <n v="1"/>
    <n v="4"/>
    <n v="1"/>
    <n v="4"/>
    <n v="1"/>
    <n v="1"/>
    <n v="4"/>
    <n v="4"/>
    <n v="3"/>
    <n v="3"/>
    <n v="2"/>
    <n v="3"/>
    <n v="3"/>
    <n v="1"/>
    <n v="2"/>
    <n v="1"/>
    <n v="4"/>
    <n v="4"/>
    <n v="4"/>
    <n v="5"/>
    <n v="1"/>
    <n v="3"/>
    <n v="2"/>
    <n v="1"/>
    <n v="4"/>
    <n v="3"/>
    <n v="4"/>
    <n v="1"/>
    <n v="4"/>
    <n v="4"/>
    <n v="1"/>
    <n v="5"/>
    <n v="4"/>
    <n v="4"/>
    <n v="3"/>
    <n v="1"/>
    <n v="1"/>
    <n v="3"/>
    <n v="3"/>
    <n v="4"/>
    <n v="3"/>
    <n v="4"/>
    <n v="2"/>
    <n v="4"/>
    <n v="2"/>
    <n v="1"/>
    <n v="2"/>
    <n v="4"/>
    <n v="3"/>
    <n v="1"/>
    <n v="2"/>
    <n v="1"/>
    <n v="3"/>
    <n v="3"/>
    <n v="2"/>
    <n v="1"/>
    <n v="3"/>
    <n v="3"/>
    <n v="2"/>
    <n v="3"/>
    <n v="3"/>
    <n v="2"/>
    <n v="5"/>
    <n v="1"/>
    <n v="1"/>
    <n v="2"/>
    <n v="2"/>
    <n v="2"/>
    <n v="4"/>
    <n v="3"/>
    <n v="4"/>
    <n v="4"/>
    <n v="2"/>
    <n v="5"/>
    <n v="2"/>
    <n v="1"/>
    <n v="5"/>
    <n v="2"/>
    <n v="1"/>
    <n v="1"/>
    <n v="1"/>
    <n v="2"/>
    <n v="4"/>
    <n v="3"/>
    <n v="2"/>
    <n v="1"/>
    <n v="3"/>
    <n v="1"/>
    <n v="1"/>
    <n v="2"/>
    <n v="2"/>
    <n v="4"/>
    <n v="5"/>
    <n v="3"/>
    <n v="4"/>
    <n v="1"/>
    <n v="4"/>
    <n v="4.25"/>
    <n v="4.75"/>
    <x v="2"/>
    <n v="3.5"/>
    <x v="10"/>
    <n v="2"/>
    <x v="1"/>
    <n v="1.5"/>
    <n v="1.75"/>
    <n v="3"/>
    <n v="1.5"/>
    <x v="7"/>
    <n v="3"/>
    <n v="4.25"/>
    <n v="2.75"/>
    <x v="7"/>
    <x v="6"/>
    <n v="3.75"/>
    <n v="3.25"/>
    <n v="3.75"/>
    <x v="11"/>
    <n v="4.75"/>
    <n v="3.25"/>
    <n v="3"/>
    <n v="4.25"/>
    <n v="4.5"/>
    <n v="4.5"/>
    <x v="6"/>
    <n v="3.75"/>
  </r>
  <r>
    <n v="72"/>
    <d v="2023-06-23T10:22:19"/>
    <d v="2023-06-23T10:24:08"/>
    <s v="Consinto em participar no questionário e que os dados recolhidos sejam utilizados para os fins acima referidos."/>
    <s v="22"/>
    <s v="Masculino"/>
    <s v="Solteiro(a)"/>
    <s v="Não"/>
    <s v="Licenciatura (3-5 anos)"/>
    <s v="Engenharia e Tecnologia"/>
    <s v="Trabalhador-estudante"/>
    <s v="Investigador "/>
    <s v="Algumas vezes por semana"/>
    <s v="Consolas fixas (XBox, Playstation...);Consolas portáteis (Nintendo switch, PSP, Wii U, etc..);"/>
    <s v="Aventura;Acção;RPG/MMORPG;Desporto;"/>
    <m/>
    <m/>
    <m/>
    <m/>
    <n v="1"/>
    <n v="0"/>
    <n v="2.6466340000000002"/>
    <n v="0"/>
    <n v="0"/>
    <n v="1"/>
    <n v="24.857028"/>
    <n v="0.84749999999999304"/>
    <m/>
    <m/>
    <m/>
    <m/>
    <n v="0"/>
    <n v="1"/>
    <n v="10.665792999999999"/>
    <n v="0"/>
    <n v="0"/>
    <m/>
    <m/>
    <n v="2"/>
    <n v="0.875"/>
    <n v="27.008096000000002"/>
    <n v="1.8"/>
    <m/>
    <m/>
    <m/>
    <m/>
    <n v="0"/>
    <m/>
    <m/>
    <n v="0"/>
    <n v="1"/>
    <n v="11.132982"/>
    <n v="0.95499999999999197"/>
    <m/>
    <m/>
    <m/>
    <m/>
    <n v="1"/>
    <n v="0"/>
    <n v="1"/>
    <n v="0"/>
    <n v="1"/>
    <n v="34.145264000000005"/>
    <n v="0"/>
    <m/>
    <m/>
    <m/>
    <m/>
    <m/>
    <m/>
    <m/>
    <m/>
    <n v="0"/>
    <n v="1"/>
    <n v="13.54457"/>
    <n v="0"/>
    <n v="0"/>
    <m/>
    <m/>
    <m/>
    <m/>
    <m/>
    <m/>
    <n v="0"/>
    <n v="1"/>
    <n v="41.084083"/>
    <n v="0.04"/>
    <n v="0"/>
    <m/>
    <m/>
    <x v="4"/>
    <n v="2"/>
    <n v="1"/>
    <n v="0.2"/>
    <n v="0"/>
    <n v="1"/>
    <n v="0.97916666666666663"/>
    <n v="0.99090909090909096"/>
    <n v="2"/>
    <n v="453"/>
    <n v="1032"/>
    <n v="1"/>
    <m/>
    <m/>
    <m/>
    <m/>
    <m/>
    <m/>
    <x v="1"/>
    <n v="0"/>
    <m/>
    <n v="5"/>
    <n v="4"/>
    <n v="4"/>
    <n v="3"/>
    <n v="5"/>
    <n v="3"/>
    <n v="2"/>
    <n v="5"/>
    <n v="3"/>
    <n v="2"/>
    <n v="3"/>
    <n v="5"/>
    <n v="3"/>
    <n v="4"/>
    <n v="5"/>
    <n v="4"/>
    <n v="5"/>
    <n v="4"/>
    <n v="4"/>
    <n v="5"/>
    <n v="4"/>
    <n v="4"/>
    <n v="4"/>
    <n v="2"/>
    <n v="3"/>
    <n v="5"/>
    <n v="4"/>
    <n v="4"/>
    <n v="3"/>
    <n v="2"/>
    <n v="5"/>
    <n v="3"/>
    <n v="5"/>
    <n v="4"/>
    <n v="4"/>
    <n v="1"/>
    <n v="1"/>
    <n v="3"/>
    <n v="1"/>
    <n v="2"/>
    <n v="1"/>
    <n v="4"/>
    <n v="4"/>
    <n v="4"/>
    <n v="4"/>
    <n v="3"/>
    <n v="5"/>
    <n v="2"/>
    <n v="1"/>
    <n v="4"/>
    <n v="2"/>
    <n v="5"/>
    <n v="3"/>
    <n v="3"/>
    <n v="5"/>
    <n v="4"/>
    <n v="5"/>
    <n v="4"/>
    <n v="4"/>
    <n v="4"/>
    <n v="4"/>
    <n v="4"/>
    <n v="5"/>
    <n v="4"/>
    <n v="4"/>
    <n v="4"/>
    <n v="4"/>
    <n v="4"/>
    <s v="4 com a pergunta"/>
    <n v="2"/>
    <n v="5"/>
    <n v="4"/>
    <n v="4"/>
    <n v="3"/>
    <n v="2"/>
    <n v="2"/>
    <n v="4"/>
    <n v="5"/>
    <n v="3"/>
    <n v="3"/>
    <n v="2"/>
    <n v="1"/>
    <n v="4"/>
    <n v="3"/>
    <n v="2"/>
    <n v="3"/>
    <n v="2"/>
    <n v="5"/>
    <n v="1"/>
    <n v="3"/>
    <n v="2"/>
    <n v="5"/>
    <n v="2"/>
    <n v="5"/>
    <n v="4"/>
    <n v="4"/>
    <n v="5"/>
    <n v="5"/>
    <n v="1"/>
    <n v="1"/>
    <n v="2"/>
    <n v="4"/>
    <n v="3"/>
    <n v="1"/>
    <n v="2"/>
    <n v="1"/>
    <n v="2"/>
    <n v="5"/>
    <n v="3"/>
    <n v="2"/>
    <n v="1"/>
    <n v="4"/>
    <n v="2"/>
    <n v="2"/>
    <n v="1"/>
    <n v="4"/>
    <n v="1"/>
    <n v="4"/>
    <n v="4"/>
    <n v="3"/>
    <n v="2"/>
    <n v="4.25"/>
    <n v="2.75"/>
    <n v="4.5"/>
    <x v="2"/>
    <n v="3.25"/>
    <x v="4"/>
    <n v="4.75"/>
    <x v="5"/>
    <n v="2.5"/>
    <n v="3.75"/>
    <n v="3.75"/>
    <n v="4"/>
    <x v="9"/>
    <n v="1.5"/>
    <n v="4"/>
    <n v="4"/>
    <x v="5"/>
    <x v="3"/>
    <n v="4.75"/>
    <n v="3.75"/>
    <n v="3.75"/>
    <x v="11"/>
    <n v="3.5"/>
    <n v="3.75"/>
    <n v="3.25"/>
    <n v="4.25"/>
    <n v="4"/>
    <n v="3.5"/>
    <x v="3"/>
    <n v="3.25"/>
  </r>
  <r>
    <n v="73"/>
    <d v="2023-06-23T11:05:46"/>
    <d v="2023-06-23T11:07:49"/>
    <s v="Consinto em participar no questionário e que os dados recolhidos sejam utilizados para os fins acima referidos."/>
    <s v="46"/>
    <s v="Feminino"/>
    <s v="Num relacionamento (casamento, união de facto, etc.)"/>
    <s v="Não"/>
    <s v="Mestrado"/>
    <s v="Engenharia e Tecnologia"/>
    <s v="Trabalhador(a) por conta de outrem"/>
    <s v="Técnica Superior"/>
    <s v="Já joguei, mas de momento não jogo"/>
    <s v="Dispositivos móveis (telemóvel, tablet);"/>
    <s v="Simulação;Puzzles;Estratégia;"/>
    <m/>
    <m/>
    <m/>
    <m/>
    <m/>
    <m/>
    <m/>
    <m/>
    <n v="1"/>
    <n v="0.125"/>
    <n v="-1"/>
    <n v="1.0024999999999999"/>
    <n v="20"/>
    <n v="1"/>
    <n v="13.266069999999999"/>
    <n v="21.650000000000002"/>
    <n v="0"/>
    <n v="0.75"/>
    <n v="9.262220000000001"/>
    <n v="0"/>
    <n v="2"/>
    <n v="2"/>
    <n v="0"/>
    <n v="4"/>
    <n v="0.125"/>
    <n v="27.507290000000001"/>
    <n v="4.7949999999999999"/>
    <m/>
    <m/>
    <m/>
    <m/>
    <n v="0"/>
    <m/>
    <m/>
    <m/>
    <m/>
    <m/>
    <m/>
    <n v="0"/>
    <n v="1"/>
    <n v="6.4548209999999999"/>
    <n v="0"/>
    <n v="0"/>
    <m/>
    <m/>
    <m/>
    <m/>
    <m/>
    <m/>
    <n v="0"/>
    <n v="1"/>
    <n v="21.47466"/>
    <n v="0.56000000000000005"/>
    <m/>
    <m/>
    <m/>
    <m/>
    <n v="0"/>
    <n v="1"/>
    <n v="14.486870000000001"/>
    <n v="0"/>
    <n v="0"/>
    <m/>
    <m/>
    <n v="2"/>
    <n v="0.2"/>
    <m/>
    <n v="2.0525000000000002"/>
    <n v="0"/>
    <n v="1"/>
    <n v="24.257080000000002"/>
    <n v="0.5625"/>
    <n v="0"/>
    <m/>
    <m/>
    <x v="4"/>
    <n v="2"/>
    <n v="1"/>
    <n v="0.2"/>
    <n v="0"/>
    <n v="0"/>
    <n v="0.4375"/>
    <n v="0.68181818181818177"/>
    <n v="2"/>
    <n v="283"/>
    <n v="950"/>
    <n v="2"/>
    <n v="1"/>
    <n v="1"/>
    <n v="3"/>
    <n v="283"/>
    <n v="1400"/>
    <n v="3"/>
    <x v="0"/>
    <n v="1"/>
    <m/>
    <n v="5"/>
    <n v="5"/>
    <n v="4"/>
    <n v="2"/>
    <n v="4"/>
    <n v="4"/>
    <n v="4"/>
    <n v="5"/>
    <n v="2"/>
    <n v="5"/>
    <n v="2"/>
    <n v="5"/>
    <n v="5"/>
    <n v="4"/>
    <n v="4"/>
    <n v="2"/>
    <n v="4"/>
    <n v="4"/>
    <n v="2"/>
    <n v="4"/>
    <n v="4"/>
    <n v="5"/>
    <n v="4"/>
    <n v="4"/>
    <n v="4"/>
    <n v="4"/>
    <n v="4"/>
    <n v="3"/>
    <n v="4"/>
    <n v="4"/>
    <n v="4"/>
    <n v="4"/>
    <n v="2"/>
    <n v="3"/>
    <n v="4"/>
    <n v="5"/>
    <n v="4"/>
    <n v="5"/>
    <n v="2"/>
    <n v="1"/>
    <n v="2"/>
    <n v="5"/>
    <n v="4"/>
    <n v="4"/>
    <n v="4"/>
    <n v="2"/>
    <n v="4"/>
    <n v="2"/>
    <n v="3"/>
    <n v="4"/>
    <n v="4"/>
    <n v="4"/>
    <n v="3"/>
    <n v="5"/>
    <n v="5"/>
    <n v="2"/>
    <n v="4"/>
    <n v="2"/>
    <n v="4"/>
    <n v="1"/>
    <n v="3"/>
    <n v="2"/>
    <n v="4"/>
    <n v="3"/>
    <n v="4"/>
    <n v="4"/>
    <n v="2"/>
    <n v="2"/>
    <n v="4"/>
    <n v="2"/>
    <n v="1"/>
    <n v="2"/>
    <n v="5"/>
    <n v="2"/>
    <n v="2"/>
    <n v="2"/>
    <n v="2"/>
    <n v="5"/>
    <n v="2"/>
    <n v="4"/>
    <n v="2"/>
    <n v="2"/>
    <n v="4"/>
    <n v="4"/>
    <n v="4"/>
    <n v="4"/>
    <n v="3"/>
    <n v="5"/>
    <n v="3"/>
    <n v="2"/>
    <n v="1"/>
    <n v="4"/>
    <n v="1"/>
    <n v="3"/>
    <n v="3"/>
    <n v="5"/>
    <n v="2"/>
    <n v="2"/>
    <n v="1"/>
    <n v="2"/>
    <n v="1"/>
    <n v="4"/>
    <n v="1"/>
    <n v="1"/>
    <n v="1"/>
    <n v="2"/>
    <n v="1"/>
    <n v="2"/>
    <n v="2"/>
    <n v="2"/>
    <n v="1"/>
    <n v="2"/>
    <n v="3"/>
    <n v="2"/>
    <n v="4"/>
    <n v="2"/>
    <n v="2"/>
    <n v="4"/>
    <n v="4"/>
    <n v="1"/>
    <n v="1"/>
    <n v="4.25"/>
    <n v="5"/>
    <n v="4"/>
    <x v="5"/>
    <n v="3.75"/>
    <x v="10"/>
    <n v="4"/>
    <x v="7"/>
    <n v="2"/>
    <n v="2.75"/>
    <n v="3.5"/>
    <n v="3.25"/>
    <x v="5"/>
    <n v="4"/>
    <n v="5"/>
    <n v="4.25"/>
    <x v="1"/>
    <x v="1"/>
    <n v="3.25"/>
    <n v="4.75"/>
    <n v="4.5"/>
    <x v="1"/>
    <n v="3.25"/>
    <n v="2.5"/>
    <n v="2.75"/>
    <n v="4"/>
    <n v="4.25"/>
    <n v="3.25"/>
    <x v="13"/>
    <n v="4.25"/>
  </r>
  <r>
    <n v="74"/>
    <d v="2023-06-23T11:31:19"/>
    <d v="2023-06-23T11:33:01"/>
    <s v="Consinto em participar no questionário e que os dados recolhidos sejam utilizados para os fins acima referidos."/>
    <s v="55"/>
    <s v="Feminino"/>
    <s v="Divorciado(a)/Separado(a)"/>
    <s v="Não"/>
    <s v="Doutoramento"/>
    <s v="Engenharia e Tecnologia"/>
    <s v="Trabalhador(a) por conta de outrem"/>
    <s v="Professor ensino superior "/>
    <s v="Outra frequência"/>
    <s v="Dispositivos móveis (telemóvel, tablet);"/>
    <s v="Estratégia;Multiplayer;"/>
    <m/>
    <m/>
    <m/>
    <m/>
    <m/>
    <m/>
    <m/>
    <m/>
    <m/>
    <m/>
    <m/>
    <m/>
    <n v="4"/>
    <n v="0"/>
    <m/>
    <n v="4.1500000000000004"/>
    <n v="0"/>
    <n v="1"/>
    <n v="24.338009999999997"/>
    <n v="0"/>
    <n v="1"/>
    <n v="0"/>
    <n v="1"/>
    <n v="2"/>
    <n v="0.3125"/>
    <m/>
    <n v="2.2000000000000002"/>
    <n v="0"/>
    <n v="1"/>
    <n v="13.781475"/>
    <n v="0"/>
    <n v="1"/>
    <n v="1"/>
    <m/>
    <m/>
    <m/>
    <m/>
    <m/>
    <n v="0"/>
    <n v="1"/>
    <n v="19.521069999999998"/>
    <n v="0"/>
    <n v="1"/>
    <n v="0"/>
    <n v="1"/>
    <m/>
    <m/>
    <m/>
    <m/>
    <n v="0"/>
    <n v="1"/>
    <n v="9.392023"/>
    <n v="0"/>
    <m/>
    <m/>
    <m/>
    <m/>
    <n v="0"/>
    <n v="1"/>
    <n v="17.425639999999998"/>
    <n v="0"/>
    <n v="1"/>
    <n v="0"/>
    <n v="1"/>
    <m/>
    <m/>
    <m/>
    <m/>
    <n v="0"/>
    <n v="1"/>
    <n v="19.20534"/>
    <n v="2.5000000000000001E-3"/>
    <n v="0"/>
    <m/>
    <m/>
    <x v="1"/>
    <n v="2"/>
    <n v="4"/>
    <n v="0.8"/>
    <n v="0"/>
    <n v="0"/>
    <n v="0.70833333333333337"/>
    <n v="0.87272727272727268"/>
    <n v="1"/>
    <n v="451"/>
    <n v="848"/>
    <n v="1"/>
    <m/>
    <m/>
    <m/>
    <m/>
    <m/>
    <m/>
    <x v="1"/>
    <n v="0"/>
    <m/>
    <n v="5"/>
    <n v="3"/>
    <n v="3"/>
    <n v="2"/>
    <n v="5"/>
    <n v="4"/>
    <n v="2"/>
    <n v="3"/>
    <n v="1"/>
    <n v="1"/>
    <n v="4"/>
    <n v="5"/>
    <n v="3"/>
    <n v="3"/>
    <n v="5"/>
    <n v="3"/>
    <n v="4"/>
    <n v="3"/>
    <n v="1"/>
    <n v="5"/>
    <n v="3"/>
    <n v="2"/>
    <n v="5"/>
    <n v="2"/>
    <n v="3"/>
    <n v="5"/>
    <n v="2"/>
    <n v="3"/>
    <n v="3"/>
    <n v="3"/>
    <n v="5"/>
    <n v="3"/>
    <n v="1"/>
    <n v="1"/>
    <n v="3"/>
    <n v="4"/>
    <n v="2"/>
    <n v="3"/>
    <n v="1"/>
    <n v="5"/>
    <n v="3"/>
    <n v="3"/>
    <n v="3"/>
    <n v="4"/>
    <n v="5"/>
    <n v="5"/>
    <n v="3"/>
    <n v="4"/>
    <n v="3"/>
    <n v="5"/>
    <n v="4"/>
    <n v="2"/>
    <n v="5"/>
    <n v="3"/>
    <n v="4"/>
    <n v="3"/>
    <n v="3"/>
    <n v="3"/>
    <n v="4"/>
    <n v="3"/>
    <n v="4"/>
    <n v="3"/>
    <n v="2"/>
    <n v="2"/>
    <n v="3"/>
    <n v="3"/>
    <n v="4"/>
    <n v="3"/>
    <n v="4"/>
    <n v="1"/>
    <n v="5"/>
    <n v="4"/>
    <n v="3"/>
    <n v="2"/>
    <n v="2"/>
    <n v="2"/>
    <n v="3"/>
    <n v="1"/>
    <n v="5"/>
    <n v="2"/>
    <n v="3"/>
    <n v="2"/>
    <n v="3"/>
    <n v="3"/>
    <n v="2"/>
    <n v="4"/>
    <n v="3"/>
    <n v="3"/>
    <n v="3"/>
    <n v="3"/>
    <n v="3"/>
    <n v="4"/>
    <n v="3"/>
    <n v="3"/>
    <n v="4"/>
    <n v="3"/>
    <n v="2"/>
    <n v="4"/>
    <n v="3"/>
    <n v="3"/>
    <n v="5"/>
    <n v="3"/>
    <n v="4"/>
    <n v="3"/>
    <n v="2"/>
    <n v="2"/>
    <n v="2"/>
    <n v="4"/>
    <n v="3"/>
    <n v="2"/>
    <n v="2"/>
    <n v="3"/>
    <n v="2"/>
    <n v="5"/>
    <n v="1"/>
    <n v="2"/>
    <n v="2"/>
    <n v="3"/>
    <n v="4"/>
    <n v="2"/>
    <n v="2"/>
    <n v="3.5"/>
    <n v="1"/>
    <n v="4.5"/>
    <x v="5"/>
    <n v="3.25"/>
    <x v="1"/>
    <n v="4.5"/>
    <x v="12"/>
    <n v="3.5"/>
    <n v="3.75"/>
    <n v="3"/>
    <n v="3.75"/>
    <x v="2"/>
    <n v="2"/>
    <n v="3.25"/>
    <n v="2.5"/>
    <x v="3"/>
    <x v="0"/>
    <n v="2.25"/>
    <n v="3"/>
    <n v="3.25"/>
    <x v="3"/>
    <n v="2.5"/>
    <n v="2.75"/>
    <n v="1.75"/>
    <n v="4.5"/>
    <n v="3.75"/>
    <n v="4"/>
    <x v="3"/>
    <n v="3.5"/>
  </r>
  <r>
    <n v="75"/>
    <d v="2023-06-23T11:30:59"/>
    <d v="2023-06-23T11:34:05"/>
    <s v="Consinto em participar no questionário e que os dados recolhidos sejam utilizados para os fins acima referidos."/>
    <s v="57"/>
    <s v="Masculino"/>
    <s v="Num relacionamento (casamento, união de facto, etc.)"/>
    <s v="Sim"/>
    <s v="Doutoramento"/>
    <s v="Engenharia e Tecnologia"/>
    <s v="Trabalhador(a) por conta de outrem"/>
    <s v="Docente"/>
    <s v="Já joguei, mas de momento não jogo"/>
    <s v="Consolas fixas (XBox, Playstation...);Computador (portátil, desktop...);Dispositivos móveis (telemóvel, tablet);"/>
    <s v="Aventura;Estratégia;"/>
    <m/>
    <m/>
    <m/>
    <m/>
    <m/>
    <m/>
    <m/>
    <m/>
    <m/>
    <m/>
    <m/>
    <m/>
    <m/>
    <m/>
    <m/>
    <m/>
    <n v="0"/>
    <n v="1"/>
    <n v="7.7905075000000004"/>
    <n v="0"/>
    <n v="2"/>
    <n v="1"/>
    <n v="1"/>
    <n v="3"/>
    <n v="0.33333333333333337"/>
    <m/>
    <n v="3.3000000000000003"/>
    <n v="0"/>
    <n v="1"/>
    <n v="14.28932"/>
    <n v="0"/>
    <n v="0"/>
    <m/>
    <m/>
    <m/>
    <m/>
    <m/>
    <m/>
    <n v="0"/>
    <n v="1"/>
    <n v="14.057049999999998"/>
    <n v="0"/>
    <n v="0"/>
    <m/>
    <m/>
    <m/>
    <m/>
    <m/>
    <m/>
    <n v="0"/>
    <n v="1"/>
    <n v="22.086659999999998"/>
    <n v="0.12"/>
    <n v="1"/>
    <n v="0"/>
    <m/>
    <n v="1.05"/>
    <n v="0"/>
    <n v="1"/>
    <n v="10.054510000000001"/>
    <n v="0"/>
    <n v="0"/>
    <m/>
    <m/>
    <m/>
    <m/>
    <m/>
    <m/>
    <n v="0"/>
    <n v="1"/>
    <n v="23.694400000000002"/>
    <n v="0.215"/>
    <n v="0"/>
    <m/>
    <m/>
    <x v="1"/>
    <n v="1"/>
    <n v="1"/>
    <n v="0.2"/>
    <n v="0"/>
    <n v="0"/>
    <n v="0.70833333333333337"/>
    <n v="0.87272727272727268"/>
    <n v="1"/>
    <n v="653"/>
    <n v="742"/>
    <n v="0"/>
    <m/>
    <m/>
    <m/>
    <m/>
    <m/>
    <m/>
    <x v="1"/>
    <n v="0"/>
    <m/>
    <n v="4"/>
    <n v="3"/>
    <n v="4"/>
    <n v="4"/>
    <n v="4"/>
    <n v="4"/>
    <n v="2"/>
    <n v="4"/>
    <n v="1"/>
    <n v="4"/>
    <n v="3"/>
    <n v="3"/>
    <n v="4"/>
    <n v="5"/>
    <n v="4"/>
    <n v="3"/>
    <n v="4"/>
    <n v="1"/>
    <n v="2"/>
    <n v="3"/>
    <n v="3"/>
    <n v="4"/>
    <n v="4"/>
    <n v="2"/>
    <n v="2"/>
    <n v="2"/>
    <n v="3"/>
    <n v="1"/>
    <n v="4"/>
    <n v="1"/>
    <n v="2"/>
    <n v="3"/>
    <n v="2"/>
    <n v="4"/>
    <n v="3"/>
    <n v="4"/>
    <n v="1"/>
    <n v="3"/>
    <n v="1"/>
    <n v="1"/>
    <n v="3"/>
    <n v="2"/>
    <n v="3"/>
    <n v="4"/>
    <n v="4"/>
    <n v="3"/>
    <n v="2"/>
    <n v="3"/>
    <n v="2"/>
    <n v="2"/>
    <n v="3"/>
    <n v="4"/>
    <n v="2"/>
    <n v="3"/>
    <n v="3"/>
    <n v="3"/>
    <n v="2"/>
    <n v="4"/>
    <n v="4"/>
    <n v="2"/>
    <n v="2"/>
    <n v="3"/>
    <n v="2"/>
    <n v="4"/>
    <n v="3"/>
    <n v="4"/>
    <n v="4"/>
    <n v="1"/>
    <n v="4"/>
    <n v="1"/>
    <n v="2"/>
    <n v="3"/>
    <n v="3"/>
    <n v="2"/>
    <n v="1"/>
    <n v="1"/>
    <n v="3"/>
    <n v="3"/>
    <n v="4"/>
    <n v="2"/>
    <n v="2"/>
    <n v="3"/>
    <n v="2"/>
    <n v="1"/>
    <n v="3"/>
    <n v="2"/>
    <n v="3"/>
    <n v="3"/>
    <n v="1"/>
    <n v="2"/>
    <n v="1"/>
    <n v="3"/>
    <n v="2"/>
    <n v="3"/>
    <n v="1"/>
    <n v="3"/>
    <n v="2"/>
    <n v="3"/>
    <n v="1"/>
    <n v="2"/>
    <n v="1"/>
    <n v="3"/>
    <n v="4"/>
    <n v="2"/>
    <n v="2"/>
    <n v="1"/>
    <n v="1"/>
    <n v="3"/>
    <n v="4"/>
    <n v="2"/>
    <n v="2"/>
    <n v="3"/>
    <n v="2"/>
    <n v="1"/>
    <n v="3"/>
    <n v="2"/>
    <n v="4"/>
    <n v="3"/>
    <n v="5"/>
    <n v="1"/>
    <n v="2"/>
    <n v="3.25"/>
    <n v="4.5"/>
    <n v="4.5"/>
    <x v="10"/>
    <n v="3.25"/>
    <x v="3"/>
    <n v="2.75"/>
    <x v="9"/>
    <n v="3"/>
    <n v="3.5"/>
    <n v="3"/>
    <n v="2.5"/>
    <x v="9"/>
    <n v="2"/>
    <n v="2.5"/>
    <n v="3"/>
    <x v="7"/>
    <x v="0"/>
    <n v="2.75"/>
    <n v="4.25"/>
    <n v="3.75"/>
    <x v="14"/>
    <n v="4.5"/>
    <n v="2.75"/>
    <n v="4.25"/>
    <n v="4.75"/>
    <n v="4.5"/>
    <n v="4"/>
    <x v="6"/>
    <n v="4.25"/>
  </r>
  <r>
    <n v="76"/>
    <d v="2023-06-23T13:30:20"/>
    <d v="2023-06-23T13:32:50"/>
    <s v="Consinto em participar no questionário e que os dados recolhidos sejam utilizados para os fins acima referidos."/>
    <s v="22"/>
    <s v="Feminino"/>
    <s v="Solteiro(a)"/>
    <s v="Não"/>
    <s v="Licenciatura (3-5 anos)"/>
    <s v="Engenharia e Tecnologia"/>
    <s v="Estudante"/>
    <s v="Estudante"/>
    <s v="Algumas vezes por dia"/>
    <s v="Computador (portátil, desktop...);Dispositivos móveis (telemóvel, tablet);"/>
    <s v="Puzzles;"/>
    <m/>
    <m/>
    <m/>
    <m/>
    <m/>
    <m/>
    <m/>
    <m/>
    <m/>
    <m/>
    <m/>
    <m/>
    <m/>
    <m/>
    <m/>
    <m/>
    <n v="0"/>
    <n v="1"/>
    <n v="3.934205"/>
    <n v="0"/>
    <n v="0"/>
    <m/>
    <m/>
    <m/>
    <m/>
    <m/>
    <m/>
    <n v="0"/>
    <n v="0.66666666666666663"/>
    <n v="5.2889379999999999"/>
    <n v="0.1925"/>
    <n v="0"/>
    <m/>
    <m/>
    <m/>
    <m/>
    <m/>
    <m/>
    <n v="0"/>
    <n v="1"/>
    <n v="5.2521450000000005"/>
    <n v="0"/>
    <n v="0"/>
    <m/>
    <m/>
    <m/>
    <m/>
    <m/>
    <m/>
    <n v="0"/>
    <n v="1"/>
    <n v="9.4351830000000003"/>
    <n v="0"/>
    <m/>
    <m/>
    <m/>
    <m/>
    <n v="0"/>
    <n v="1"/>
    <n v="8.4347180000000002"/>
    <n v="0"/>
    <n v="0"/>
    <m/>
    <m/>
    <m/>
    <m/>
    <m/>
    <m/>
    <n v="0"/>
    <n v="0.5"/>
    <n v="11.38566"/>
    <n v="1.7500000000000002E-2"/>
    <n v="1"/>
    <n v="0"/>
    <n v="1"/>
    <x v="0"/>
    <n v="0"/>
    <n v="1"/>
    <n v="0.2"/>
    <n v="0"/>
    <n v="0"/>
    <n v="0.72916666666666663"/>
    <n v="0.52727272727272723"/>
    <n v="1"/>
    <n v="352"/>
    <n v="680"/>
    <n v="1"/>
    <m/>
    <m/>
    <m/>
    <m/>
    <m/>
    <m/>
    <x v="1"/>
    <n v="0"/>
    <m/>
    <n v="4"/>
    <n v="4"/>
    <n v="4"/>
    <n v="4"/>
    <n v="5"/>
    <n v="3"/>
    <n v="4"/>
    <n v="4"/>
    <n v="1"/>
    <n v="3"/>
    <n v="2"/>
    <n v="4"/>
    <n v="3"/>
    <n v="4"/>
    <n v="4"/>
    <n v="2"/>
    <n v="2"/>
    <n v="3"/>
    <n v="1"/>
    <n v="4"/>
    <n v="2"/>
    <n v="4"/>
    <n v="4"/>
    <n v="1"/>
    <n v="1"/>
    <n v="1"/>
    <n v="4"/>
    <n v="3"/>
    <n v="3"/>
    <n v="1"/>
    <n v="3"/>
    <n v="4"/>
    <n v="3"/>
    <n v="4"/>
    <n v="3"/>
    <n v="2"/>
    <n v="4"/>
    <n v="3"/>
    <n v="1"/>
    <n v="3"/>
    <n v="1"/>
    <n v="2"/>
    <n v="4"/>
    <n v="4"/>
    <n v="4"/>
    <n v="2"/>
    <n v="3"/>
    <n v="1"/>
    <n v="1"/>
    <n v="4"/>
    <n v="4"/>
    <n v="3"/>
    <n v="3"/>
    <n v="4"/>
    <n v="4"/>
    <n v="1"/>
    <n v="4"/>
    <n v="4"/>
    <n v="4"/>
    <n v="2"/>
    <n v="2"/>
    <n v="2"/>
    <n v="3"/>
    <n v="4"/>
    <n v="4"/>
    <n v="2"/>
    <n v="2"/>
    <n v="2"/>
    <n v="4"/>
    <n v="1"/>
    <n v="4"/>
    <n v="1"/>
    <n v="3"/>
    <n v="2"/>
    <n v="2"/>
    <n v="1"/>
    <n v="1"/>
    <n v="4"/>
    <n v="1"/>
    <n v="1"/>
    <n v="1"/>
    <n v="2"/>
    <n v="1"/>
    <n v="3"/>
    <n v="4"/>
    <n v="2"/>
    <n v="1"/>
    <n v="5"/>
    <n v="3"/>
    <n v="2"/>
    <n v="2"/>
    <n v="1"/>
    <n v="1"/>
    <n v="1"/>
    <n v="1"/>
    <n v="4"/>
    <n v="3"/>
    <n v="2"/>
    <n v="1"/>
    <n v="1"/>
    <n v="1"/>
    <n v="5"/>
    <n v="2"/>
    <n v="2"/>
    <n v="2"/>
    <n v="2"/>
    <n v="2"/>
    <n v="4"/>
    <n v="3"/>
    <n v="1"/>
    <n v="2"/>
    <n v="4"/>
    <n v="2"/>
    <n v="3"/>
    <n v="1"/>
    <n v="2"/>
    <n v="3"/>
    <n v="4"/>
    <n v="3"/>
    <n v="3"/>
    <n v="1"/>
    <n v="4"/>
    <n v="3.25"/>
    <n v="4.25"/>
    <x v="5"/>
    <n v="3.25"/>
    <x v="3"/>
    <n v="2.5"/>
    <x v="1"/>
    <n v="1.25"/>
    <n v="2.25"/>
    <n v="2.5"/>
    <n v="1.5"/>
    <x v="7"/>
    <n v="4"/>
    <n v="3.25"/>
    <n v="2.75"/>
    <x v="4"/>
    <x v="1"/>
    <n v="2.75"/>
    <n v="4"/>
    <n v="3.75"/>
    <x v="1"/>
    <n v="3.25"/>
    <n v="3.25"/>
    <n v="4.25"/>
    <n v="5"/>
    <n v="4"/>
    <n v="5"/>
    <x v="2"/>
    <n v="3.5"/>
  </r>
  <r>
    <n v="77"/>
    <d v="2023-06-23T13:59:51"/>
    <d v="2023-06-23T14:02:13"/>
    <s v="Consinto em participar no questionário e que os dados recolhidos sejam utilizados para os fins acima referidos."/>
    <s v="26"/>
    <s v="Masculino"/>
    <s v="Solteiro(a)"/>
    <s v="Não"/>
    <s v="Mestrado"/>
    <s v="Engenharia e Tecnologia"/>
    <s v="Trabalhador-estudante"/>
    <s v="Aluno doutoramento R&amp;D"/>
    <s v="Uma vez por dia"/>
    <s v="Computador (portátil, desktop...);Dispositivos móveis (telemóvel, tablet);Consolas portáteis (Nintendo switch, PSP, Wii U, etc..);"/>
    <s v="Aventura;RPG/MMORPG;"/>
    <m/>
    <m/>
    <m/>
    <m/>
    <n v="1"/>
    <n v="0"/>
    <n v="3.0765359999999999"/>
    <n v="0"/>
    <n v="0"/>
    <n v="1"/>
    <n v="19.377929999999999"/>
    <n v="0.93500000000000005"/>
    <n v="2"/>
    <n v="0.3"/>
    <m/>
    <n v="2.1"/>
    <n v="0"/>
    <n v="1"/>
    <n v="15.42028"/>
    <n v="0"/>
    <n v="0"/>
    <m/>
    <m/>
    <m/>
    <m/>
    <m/>
    <m/>
    <n v="0"/>
    <n v="1"/>
    <n v="15.400709999999998"/>
    <n v="0.57999999999999996"/>
    <n v="0"/>
    <m/>
    <m/>
    <m/>
    <m/>
    <m/>
    <m/>
    <n v="0"/>
    <n v="1"/>
    <n v="5.2595429999999999"/>
    <n v="0"/>
    <n v="0"/>
    <m/>
    <m/>
    <m/>
    <m/>
    <m/>
    <m/>
    <n v="0"/>
    <n v="1"/>
    <n v="9.4031339999999997"/>
    <n v="0"/>
    <m/>
    <m/>
    <m/>
    <m/>
    <n v="0"/>
    <n v="1"/>
    <n v="7.8206689999999996"/>
    <n v="0"/>
    <n v="0"/>
    <m/>
    <m/>
    <m/>
    <m/>
    <m/>
    <m/>
    <n v="0"/>
    <n v="1"/>
    <n v="18.243639999999999"/>
    <n v="0.115"/>
    <n v="0"/>
    <m/>
    <m/>
    <x v="1"/>
    <n v="0"/>
    <n v="0"/>
    <n v="0"/>
    <n v="0"/>
    <n v="1"/>
    <n v="0.79166666666666663"/>
    <n v="0.90909090909090906"/>
    <n v="2"/>
    <n v="336"/>
    <n v="1200"/>
    <n v="2"/>
    <m/>
    <m/>
    <m/>
    <m/>
    <m/>
    <m/>
    <x v="1"/>
    <n v="0"/>
    <m/>
    <n v="4"/>
    <n v="3"/>
    <n v="5"/>
    <n v="3"/>
    <n v="4"/>
    <n v="3"/>
    <n v="5"/>
    <n v="3"/>
    <n v="2"/>
    <n v="3"/>
    <n v="2"/>
    <n v="3"/>
    <n v="2"/>
    <n v="3"/>
    <n v="4"/>
    <n v="4"/>
    <n v="3"/>
    <n v="3"/>
    <n v="1"/>
    <n v="3"/>
    <n v="4"/>
    <n v="2"/>
    <n v="4"/>
    <n v="2"/>
    <n v="3"/>
    <n v="2"/>
    <n v="3"/>
    <n v="3"/>
    <n v="3"/>
    <n v="1"/>
    <n v="5"/>
    <n v="3"/>
    <n v="3"/>
    <n v="3"/>
    <n v="2"/>
    <n v="3"/>
    <n v="1"/>
    <n v="2"/>
    <n v="2"/>
    <n v="2"/>
    <n v="2"/>
    <n v="2"/>
    <n v="3"/>
    <n v="4"/>
    <n v="4"/>
    <n v="4"/>
    <n v="3"/>
    <n v="5"/>
    <n v="2"/>
    <n v="3"/>
    <n v="2"/>
    <n v="3"/>
    <n v="4"/>
    <n v="4"/>
    <n v="4"/>
    <n v="3"/>
    <n v="5"/>
    <n v="3"/>
    <n v="3"/>
    <n v="1"/>
    <n v="3"/>
    <n v="4"/>
    <n v="3"/>
    <n v="3"/>
    <n v="3"/>
    <n v="2"/>
    <n v="2"/>
    <n v="2"/>
    <n v="4"/>
    <n v="3"/>
    <n v="4"/>
    <n v="2"/>
    <n v="3"/>
    <n v="3"/>
    <n v="3"/>
    <n v="2"/>
    <n v="3"/>
    <n v="4"/>
    <n v="4"/>
    <n v="2"/>
    <n v="3"/>
    <n v="3"/>
    <n v="2"/>
    <n v="3"/>
    <n v="2"/>
    <n v="3"/>
    <n v="4"/>
    <n v="5"/>
    <n v="3"/>
    <n v="3"/>
    <n v="4"/>
    <n v="3"/>
    <n v="2"/>
    <n v="3"/>
    <n v="3"/>
    <n v="3"/>
    <n v="4"/>
    <n v="5"/>
    <n v="2"/>
    <n v="2"/>
    <n v="1"/>
    <n v="5"/>
    <n v="4"/>
    <n v="3"/>
    <n v="2"/>
    <n v="1"/>
    <n v="3"/>
    <n v="4"/>
    <n v="4"/>
    <n v="2"/>
    <n v="4"/>
    <n v="3"/>
    <n v="2"/>
    <n v="3"/>
    <n v="1"/>
    <n v="4"/>
    <n v="3"/>
    <n v="4"/>
    <n v="4"/>
    <n v="3"/>
    <n v="1"/>
    <n v="3"/>
    <n v="3.5"/>
    <n v="4.25"/>
    <x v="3"/>
    <n v="3"/>
    <x v="10"/>
    <n v="3.75"/>
    <x v="1"/>
    <n v="1.75"/>
    <n v="3.5"/>
    <n v="3.5"/>
    <n v="3"/>
    <x v="2"/>
    <n v="2.75"/>
    <n v="2.5"/>
    <n v="3"/>
    <x v="3"/>
    <x v="1"/>
    <n v="3.5"/>
    <n v="3.25"/>
    <n v="2.75"/>
    <x v="14"/>
    <n v="3"/>
    <n v="2.75"/>
    <n v="3"/>
    <n v="3.75"/>
    <n v="3.5"/>
    <n v="4.25"/>
    <x v="1"/>
    <n v="3"/>
  </r>
  <r>
    <n v="78"/>
    <d v="2023-06-23T14:03:09"/>
    <d v="2023-06-23T14:05:02"/>
    <s v="Consinto em participar no questionário e que os dados recolhidos sejam utilizados para os fins acima referidos."/>
    <s v="21"/>
    <s v="Feminino"/>
    <s v="Solteiro(a)"/>
    <s v="Não"/>
    <s v="Licenciatura (3-5 anos)"/>
    <s v="Engenharia e Tecnologia"/>
    <s v="Estudante"/>
    <s v="Estudante "/>
    <s v="Algumas vezes por semana"/>
    <s v="Dispositivos móveis (telemóvel, tablet);"/>
    <s v="Multiplayer;Estratégia;"/>
    <m/>
    <m/>
    <m/>
    <m/>
    <m/>
    <m/>
    <m/>
    <m/>
    <m/>
    <m/>
    <m/>
    <m/>
    <n v="1"/>
    <n v="0"/>
    <m/>
    <n v="1.05"/>
    <n v="0"/>
    <n v="0"/>
    <n v="3.952302"/>
    <n v="0"/>
    <n v="0"/>
    <m/>
    <m/>
    <m/>
    <m/>
    <m/>
    <m/>
    <n v="0"/>
    <n v="0"/>
    <n v="7.3039520000000007"/>
    <n v="0.36249999999999999"/>
    <n v="0"/>
    <m/>
    <m/>
    <m/>
    <m/>
    <m/>
    <m/>
    <n v="0"/>
    <n v="1"/>
    <n v="7.1202030000000001"/>
    <n v="0"/>
    <n v="0"/>
    <m/>
    <m/>
    <m/>
    <m/>
    <m/>
    <m/>
    <n v="0"/>
    <n v="1"/>
    <n v="9.7359189999999991"/>
    <n v="0"/>
    <m/>
    <m/>
    <m/>
    <m/>
    <n v="0"/>
    <n v="1"/>
    <n v="10.77023"/>
    <n v="0"/>
    <n v="0"/>
    <m/>
    <m/>
    <m/>
    <m/>
    <m/>
    <m/>
    <n v="0"/>
    <n v="0.5"/>
    <n v="13.22096"/>
    <n v="2.5000000000000001E-2"/>
    <m/>
    <m/>
    <m/>
    <x v="2"/>
    <n v="0"/>
    <n v="0"/>
    <n v="0"/>
    <n v="0"/>
    <n v="0"/>
    <n v="4.1666666666666664E-2"/>
    <n v="0.18181818181818182"/>
    <n v="0"/>
    <n v="100"/>
    <n v="200"/>
    <n v="0"/>
    <m/>
    <m/>
    <m/>
    <m/>
    <m/>
    <m/>
    <x v="1"/>
    <n v="0"/>
    <m/>
    <n v="5"/>
    <n v="4"/>
    <n v="4"/>
    <n v="2"/>
    <n v="4"/>
    <n v="5"/>
    <n v="5"/>
    <n v="5"/>
    <n v="2"/>
    <n v="3"/>
    <n v="4"/>
    <n v="4"/>
    <n v="4"/>
    <n v="5"/>
    <n v="5"/>
    <n v="4"/>
    <n v="4"/>
    <n v="3"/>
    <n v="2"/>
    <n v="4"/>
    <n v="5"/>
    <n v="5"/>
    <n v="3"/>
    <n v="2"/>
    <n v="2"/>
    <n v="5"/>
    <n v="3"/>
    <n v="2"/>
    <n v="5"/>
    <n v="4"/>
    <n v="5"/>
    <n v="4"/>
    <n v="4"/>
    <n v="4"/>
    <n v="3"/>
    <n v="5"/>
    <n v="5"/>
    <n v="5"/>
    <n v="2"/>
    <n v="4"/>
    <n v="3"/>
    <n v="2"/>
    <n v="4"/>
    <n v="5"/>
    <n v="4"/>
    <n v="5"/>
    <n v="4"/>
    <n v="4"/>
    <n v="2"/>
    <n v="4"/>
    <n v="2"/>
    <n v="4"/>
    <n v="2"/>
    <n v="3"/>
    <n v="3"/>
    <n v="2"/>
    <n v="5"/>
    <n v="4"/>
    <n v="5"/>
    <n v="5"/>
    <n v="5"/>
    <n v="2"/>
    <n v="4"/>
    <n v="4"/>
    <n v="4"/>
    <n v="4"/>
    <n v="3"/>
    <n v="2"/>
    <n v="4"/>
    <n v="1"/>
    <n v="5"/>
    <n v="3"/>
    <n v="3"/>
    <n v="2"/>
    <n v="2"/>
    <n v="2"/>
    <n v="4"/>
    <n v="3"/>
    <n v="4"/>
    <n v="2"/>
    <n v="2"/>
    <n v="1"/>
    <n v="4"/>
    <n v="4"/>
    <n v="2"/>
    <n v="5"/>
    <n v="4"/>
    <n v="4"/>
    <n v="2"/>
    <n v="2"/>
    <n v="4"/>
    <n v="4"/>
    <n v="3"/>
    <n v="2"/>
    <n v="4"/>
    <n v="3"/>
    <n v="2"/>
    <n v="2"/>
    <n v="2"/>
    <n v="2"/>
    <n v="2"/>
    <n v="4"/>
    <n v="3"/>
    <n v="1"/>
    <n v="1"/>
    <n v="1"/>
    <n v="1"/>
    <n v="4"/>
    <n v="1"/>
    <n v="3"/>
    <n v="2"/>
    <n v="4"/>
    <n v="2"/>
    <n v="2"/>
    <n v="3"/>
    <n v="4"/>
    <n v="2"/>
    <n v="2"/>
    <n v="3"/>
    <n v="1"/>
    <n v="3"/>
    <n v="3.5"/>
    <n v="2.5"/>
    <n v="4.5"/>
    <x v="1"/>
    <n v="2"/>
    <x v="0"/>
    <n v="4.75"/>
    <x v="15"/>
    <n v="3"/>
    <n v="4.5"/>
    <n v="4"/>
    <n v="3.75"/>
    <x v="6"/>
    <n v="4.25"/>
    <n v="3"/>
    <n v="3.25"/>
    <x v="5"/>
    <x v="8"/>
    <n v="3.5"/>
    <n v="4.5"/>
    <n v="4.25"/>
    <x v="10"/>
    <n v="3.25"/>
    <n v="3.25"/>
    <n v="3"/>
    <n v="4.25"/>
    <n v="4.75"/>
    <n v="3.75"/>
    <x v="2"/>
    <n v="4.75"/>
  </r>
  <r>
    <n v="79"/>
    <d v="2023-06-23T14:03:10"/>
    <d v="2023-06-23T14:05:18"/>
    <s v="Consinto em participar no questionário e que os dados recolhidos sejam utilizados para os fins acima referidos."/>
    <s v="21"/>
    <s v="Feminino"/>
    <s v="Solteiro(a)"/>
    <s v="Não"/>
    <s v="Licenciatura (3-5 anos)"/>
    <s v="Engenharia e Tecnologia"/>
    <s v="Estudante"/>
    <s v="Estudante"/>
    <s v="Algumas vezes por semana"/>
    <s v="Dispositivos móveis (telemóvel, tablet);"/>
    <s v="Estratégia;Puzzles;"/>
    <m/>
    <m/>
    <m/>
    <m/>
    <n v="1"/>
    <n v="0"/>
    <n v="3.192005"/>
    <n v="0"/>
    <n v="0"/>
    <n v="0"/>
    <n v="21.672840000000001"/>
    <n v="0"/>
    <n v="1"/>
    <n v="1"/>
    <n v="5.5174539999999999"/>
    <n v="1.05"/>
    <m/>
    <m/>
    <m/>
    <m/>
    <n v="1"/>
    <n v="0"/>
    <n v="1"/>
    <m/>
    <m/>
    <m/>
    <m/>
    <n v="0"/>
    <n v="1"/>
    <n v="17.261669999999999"/>
    <n v="8.5000000000000006E-2"/>
    <n v="0"/>
    <m/>
    <m/>
    <m/>
    <m/>
    <m/>
    <m/>
    <n v="0"/>
    <n v="1"/>
    <n v="6.6790829999999994"/>
    <n v="0"/>
    <n v="0"/>
    <m/>
    <m/>
    <n v="1"/>
    <n v="0"/>
    <m/>
    <n v="1.05"/>
    <n v="0"/>
    <n v="1"/>
    <n v="9.8260570000000005"/>
    <n v="0"/>
    <m/>
    <m/>
    <m/>
    <m/>
    <n v="0"/>
    <n v="1"/>
    <n v="9.0830400000000004"/>
    <n v="0"/>
    <n v="0"/>
    <m/>
    <m/>
    <m/>
    <m/>
    <m/>
    <m/>
    <n v="0"/>
    <n v="0.5"/>
    <n v="11.360520000000001"/>
    <n v="2.5000000000000001E-2"/>
    <n v="0"/>
    <m/>
    <m/>
    <x v="3"/>
    <n v="0"/>
    <n v="1"/>
    <n v="0.2"/>
    <n v="0"/>
    <n v="1"/>
    <n v="6.25E-2"/>
    <n v="0.27272727272727271"/>
    <n v="0"/>
    <n v="186"/>
    <n v="300"/>
    <n v="0"/>
    <m/>
    <m/>
    <m/>
    <m/>
    <m/>
    <m/>
    <x v="1"/>
    <n v="0"/>
    <m/>
    <n v="4"/>
    <n v="4"/>
    <n v="3"/>
    <n v="4"/>
    <n v="4"/>
    <n v="3"/>
    <n v="4"/>
    <n v="4"/>
    <n v="2"/>
    <n v="3"/>
    <n v="2"/>
    <n v="4"/>
    <n v="4"/>
    <n v="4"/>
    <n v="4"/>
    <n v="1"/>
    <n v="2"/>
    <n v="2"/>
    <n v="1"/>
    <n v="4"/>
    <n v="3"/>
    <n v="4"/>
    <n v="3"/>
    <n v="1"/>
    <n v="4"/>
    <n v="1"/>
    <n v="4"/>
    <n v="2"/>
    <n v="4"/>
    <n v="2"/>
    <n v="2"/>
    <n v="4"/>
    <n v="3"/>
    <n v="4"/>
    <n v="3"/>
    <n v="2"/>
    <n v="4"/>
    <n v="3"/>
    <n v="2"/>
    <n v="3"/>
    <n v="1"/>
    <n v="2"/>
    <n v="4"/>
    <n v="4"/>
    <n v="4"/>
    <n v="2"/>
    <n v="3"/>
    <n v="2"/>
    <n v="2"/>
    <n v="4"/>
    <n v="2"/>
    <n v="3"/>
    <n v="4"/>
    <n v="4"/>
    <n v="4"/>
    <n v="1"/>
    <n v="4"/>
    <n v="2"/>
    <n v="4"/>
    <n v="2"/>
    <n v="3"/>
    <n v="1"/>
    <n v="2"/>
    <n v="4"/>
    <n v="4"/>
    <n v="3"/>
    <n v="2"/>
    <n v="3"/>
    <n v="4"/>
    <n v="1"/>
    <n v="1"/>
    <n v="2"/>
    <n v="4"/>
    <n v="2"/>
    <n v="2"/>
    <n v="3"/>
    <n v="2"/>
    <n v="2"/>
    <n v="2"/>
    <n v="2"/>
    <n v="2"/>
    <n v="4"/>
    <n v="3"/>
    <n v="4"/>
    <n v="3"/>
    <n v="3"/>
    <n v="2"/>
    <n v="4"/>
    <n v="2"/>
    <n v="2"/>
    <n v="3"/>
    <n v="4"/>
    <n v="2"/>
    <n v="2"/>
    <n v="2"/>
    <n v="4"/>
    <n v="4"/>
    <n v="2"/>
    <n v="2"/>
    <n v="2"/>
    <n v="2"/>
    <n v="5"/>
    <n v="2"/>
    <n v="2"/>
    <n v="2"/>
    <n v="2"/>
    <n v="4"/>
    <n v="3"/>
    <n v="3"/>
    <n v="2"/>
    <n v="2"/>
    <n v="4"/>
    <n v="2"/>
    <n v="3"/>
    <n v="3"/>
    <n v="2"/>
    <n v="2"/>
    <n v="4"/>
    <n v="4"/>
    <n v="3"/>
    <n v="2"/>
    <n v="3.75"/>
    <n v="3.75"/>
    <n v="3.75"/>
    <x v="1"/>
    <n v="3.75"/>
    <x v="8"/>
    <n v="3.25"/>
    <x v="1"/>
    <n v="1.5"/>
    <n v="1.75"/>
    <n v="2.75"/>
    <n v="2"/>
    <x v="7"/>
    <n v="4"/>
    <n v="3.5"/>
    <n v="2.5"/>
    <x v="7"/>
    <x v="2"/>
    <n v="2.5"/>
    <n v="3.5"/>
    <n v="4"/>
    <x v="5"/>
    <n v="2.5"/>
    <n v="2.5"/>
    <n v="4"/>
    <n v="4.25"/>
    <n v="4"/>
    <n v="4.25"/>
    <x v="6"/>
    <n v="3.75"/>
  </r>
  <r>
    <n v="80"/>
    <d v="2023-06-23T14:02:47"/>
    <d v="2023-06-23T14:05:19"/>
    <s v="Consinto em participar no questionário e que os dados recolhidos sejam utilizados para os fins acima referidos."/>
    <s v="21"/>
    <s v="Feminino"/>
    <s v="Solteiro(a)"/>
    <s v="Não"/>
    <s v="Licenciatura (3-5 anos)"/>
    <s v="Engenharia e Tecnologia"/>
    <s v="Estudante"/>
    <s v="Estudante "/>
    <s v="Já joguei, mas de momento não jogo"/>
    <s v="Dispositivos móveis (telemóvel, tablet);"/>
    <s v="Puzzles;Multiplayer;Estratégia;"/>
    <m/>
    <m/>
    <m/>
    <m/>
    <m/>
    <m/>
    <m/>
    <m/>
    <m/>
    <m/>
    <m/>
    <m/>
    <n v="2"/>
    <n v="0.2"/>
    <m/>
    <n v="2.1"/>
    <n v="0"/>
    <n v="1"/>
    <n v="4.4318660000000003"/>
    <n v="0"/>
    <n v="0"/>
    <m/>
    <m/>
    <n v="0"/>
    <n v="0.375"/>
    <n v="25.887080000000001"/>
    <n v="0.45"/>
    <m/>
    <m/>
    <m/>
    <m/>
    <n v="0"/>
    <m/>
    <m/>
    <n v="2"/>
    <n v="0.5"/>
    <m/>
    <n v="2.0024999999999999"/>
    <n v="0"/>
    <n v="1"/>
    <n v="5.7502709999999997"/>
    <n v="0"/>
    <n v="0"/>
    <m/>
    <m/>
    <m/>
    <m/>
    <m/>
    <m/>
    <n v="0"/>
    <n v="1"/>
    <n v="10.06733"/>
    <n v="0"/>
    <m/>
    <m/>
    <m/>
    <m/>
    <n v="0"/>
    <n v="1"/>
    <n v="11.433450000000001"/>
    <n v="0"/>
    <n v="0"/>
    <m/>
    <m/>
    <n v="3"/>
    <n v="0"/>
    <m/>
    <n v="3.1500000000000004"/>
    <n v="0"/>
    <n v="1"/>
    <n v="15.468530000000001"/>
    <n v="0.14249999999999999"/>
    <n v="0"/>
    <m/>
    <m/>
    <x v="4"/>
    <n v="2"/>
    <n v="0"/>
    <n v="0"/>
    <n v="0"/>
    <n v="0"/>
    <n v="0.27083333333333331"/>
    <n v="0.60909090909090913"/>
    <n v="1"/>
    <n v="267"/>
    <n v="770"/>
    <n v="1"/>
    <m/>
    <m/>
    <m/>
    <m/>
    <m/>
    <m/>
    <x v="1"/>
    <n v="0"/>
    <m/>
    <n v="4"/>
    <n v="3"/>
    <n v="3"/>
    <n v="4"/>
    <n v="4"/>
    <n v="4"/>
    <n v="4"/>
    <n v="5"/>
    <n v="3"/>
    <n v="2"/>
    <n v="3"/>
    <n v="4"/>
    <n v="4"/>
    <n v="4"/>
    <n v="3"/>
    <n v="4"/>
    <n v="2"/>
    <n v="4"/>
    <n v="2"/>
    <n v="2"/>
    <n v="4"/>
    <n v="5"/>
    <n v="4"/>
    <n v="2"/>
    <n v="2"/>
    <n v="5"/>
    <n v="3"/>
    <n v="3"/>
    <n v="5"/>
    <n v="3"/>
    <n v="4"/>
    <n v="3"/>
    <n v="4"/>
    <n v="4"/>
    <n v="3"/>
    <n v="5"/>
    <n v="2"/>
    <n v="5"/>
    <n v="3"/>
    <n v="4"/>
    <n v="2"/>
    <n v="2"/>
    <n v="4"/>
    <n v="5"/>
    <n v="4"/>
    <n v="3"/>
    <n v="2"/>
    <n v="2"/>
    <n v="2"/>
    <n v="3"/>
    <n v="2"/>
    <n v="4"/>
    <n v="2"/>
    <n v="3"/>
    <n v="3"/>
    <n v="2"/>
    <n v="4"/>
    <n v="4"/>
    <n v="5"/>
    <n v="4"/>
    <n v="4"/>
    <n v="3"/>
    <n v="5"/>
    <n v="4"/>
    <n v="3"/>
    <n v="5"/>
    <n v="3"/>
    <n v="2"/>
    <n v="4"/>
    <n v="3"/>
    <n v="2"/>
    <n v="3"/>
    <n v="4"/>
    <n v="2"/>
    <n v="1"/>
    <n v="3"/>
    <n v="2"/>
    <n v="3"/>
    <n v="2"/>
    <n v="3"/>
    <n v="2"/>
    <n v="2"/>
    <n v="3"/>
    <n v="4"/>
    <n v="3"/>
    <n v="4"/>
    <n v="4"/>
    <n v="3"/>
    <n v="1"/>
    <n v="2"/>
    <n v="4"/>
    <n v="5"/>
    <n v="3"/>
    <n v="4"/>
    <n v="2"/>
    <n v="3"/>
    <n v="2"/>
    <n v="3"/>
    <n v="2"/>
    <n v="2"/>
    <n v="2"/>
    <n v="4"/>
    <n v="2"/>
    <n v="1"/>
    <n v="2"/>
    <n v="3"/>
    <n v="1"/>
    <n v="4"/>
    <n v="2"/>
    <n v="2"/>
    <n v="2"/>
    <n v="3"/>
    <n v="1"/>
    <n v="2"/>
    <n v="4"/>
    <n v="4"/>
    <n v="1"/>
    <n v="3"/>
    <n v="2"/>
    <n v="1"/>
    <n v="3"/>
    <n v="3.25"/>
    <n v="3"/>
    <n v="3.25"/>
    <x v="10"/>
    <n v="2.25"/>
    <x v="12"/>
    <n v="4.25"/>
    <x v="15"/>
    <n v="2.5"/>
    <n v="3.5"/>
    <n v="3.75"/>
    <n v="4"/>
    <x v="2"/>
    <n v="3"/>
    <n v="3.5"/>
    <n v="2.25"/>
    <x v="6"/>
    <x v="10"/>
    <n v="4"/>
    <n v="4.5"/>
    <n v="4.25"/>
    <x v="1"/>
    <n v="3.5"/>
    <n v="4"/>
    <n v="4"/>
    <n v="3.25"/>
    <n v="4.5"/>
    <n v="3.75"/>
    <x v="5"/>
    <n v="4.75"/>
  </r>
  <r>
    <n v="81"/>
    <d v="2023-06-23T14:03:25"/>
    <d v="2023-06-23T14:05:32"/>
    <s v="Consinto em participar no questionário e que os dados recolhidos sejam utilizados para os fins acima referidos."/>
    <s v="21"/>
    <s v="Feminino"/>
    <s v="Solteiro(a)"/>
    <s v="Não"/>
    <s v="Licenciatura (3-5 anos)"/>
    <s v="Engenharia e Tecnologia"/>
    <s v="Estudante"/>
    <s v="Estudante "/>
    <s v="Uma vez por semana"/>
    <s v="Dispositivos móveis (telemóvel, tablet);"/>
    <s v="Puzzles;"/>
    <m/>
    <m/>
    <m/>
    <m/>
    <m/>
    <m/>
    <m/>
    <m/>
    <m/>
    <m/>
    <m/>
    <m/>
    <m/>
    <m/>
    <m/>
    <m/>
    <n v="0"/>
    <n v="1"/>
    <n v="5.9923010000000003"/>
    <n v="0"/>
    <n v="0"/>
    <m/>
    <m/>
    <n v="1"/>
    <n v="0.375"/>
    <n v="42.982480000000002"/>
    <n v="1.1700000000000002"/>
    <m/>
    <m/>
    <m/>
    <m/>
    <m/>
    <m/>
    <m/>
    <m/>
    <m/>
    <m/>
    <m/>
    <n v="0"/>
    <n v="1"/>
    <n v="48.74982"/>
    <n v="0"/>
    <n v="1"/>
    <n v="0"/>
    <n v="1"/>
    <m/>
    <m/>
    <m/>
    <m/>
    <n v="0"/>
    <n v="1"/>
    <n v="11.650510000000001"/>
    <n v="0"/>
    <m/>
    <m/>
    <m/>
    <m/>
    <n v="0"/>
    <n v="1"/>
    <n v="9.8858940000000004"/>
    <n v="0"/>
    <n v="0"/>
    <m/>
    <m/>
    <m/>
    <m/>
    <m/>
    <m/>
    <n v="0"/>
    <n v="1"/>
    <n v="14.47532"/>
    <n v="6.7500000000000004E-2"/>
    <n v="1"/>
    <n v="1"/>
    <n v="0.33333333333333331"/>
    <x v="2"/>
    <n v="0"/>
    <n v="2"/>
    <n v="0.4"/>
    <n v="0"/>
    <n v="0"/>
    <n v="8.3333333333333329E-2"/>
    <n v="0.3"/>
    <n v="0"/>
    <n v="233"/>
    <n v="330"/>
    <n v="0"/>
    <m/>
    <m/>
    <m/>
    <m/>
    <m/>
    <m/>
    <x v="1"/>
    <n v="0"/>
    <m/>
    <n v="5"/>
    <n v="3"/>
    <n v="4"/>
    <n v="4"/>
    <n v="4"/>
    <n v="1"/>
    <n v="5"/>
    <n v="4"/>
    <n v="1"/>
    <n v="4"/>
    <n v="4"/>
    <n v="4"/>
    <n v="4"/>
    <n v="4"/>
    <n v="4"/>
    <n v="3"/>
    <n v="2"/>
    <n v="2"/>
    <n v="2"/>
    <n v="4"/>
    <n v="3"/>
    <n v="4"/>
    <n v="2"/>
    <n v="1"/>
    <n v="2"/>
    <n v="3"/>
    <n v="3"/>
    <n v="3"/>
    <n v="4"/>
    <n v="1"/>
    <n v="4"/>
    <n v="4"/>
    <n v="4"/>
    <n v="4"/>
    <n v="2"/>
    <n v="2"/>
    <n v="4"/>
    <n v="2"/>
    <n v="2"/>
    <n v="4"/>
    <n v="3"/>
    <n v="2"/>
    <n v="5"/>
    <n v="4"/>
    <n v="4"/>
    <n v="3"/>
    <n v="2"/>
    <n v="2"/>
    <n v="2"/>
    <n v="3"/>
    <n v="2"/>
    <n v="3"/>
    <n v="3"/>
    <n v="3"/>
    <n v="4"/>
    <n v="2"/>
    <n v="5"/>
    <n v="4"/>
    <n v="4"/>
    <n v="1"/>
    <n v="4"/>
    <n v="2"/>
    <n v="3"/>
    <n v="4"/>
    <n v="4"/>
    <n v="2"/>
    <n v="3"/>
    <n v="2"/>
    <n v="4"/>
    <n v="2"/>
    <n v="3"/>
    <n v="3"/>
    <n v="2"/>
    <n v="2"/>
    <n v="1"/>
    <n v="3"/>
    <n v="3"/>
    <n v="3"/>
    <n v="2"/>
    <n v="2"/>
    <n v="2"/>
    <n v="2"/>
    <n v="3"/>
    <n v="2"/>
    <n v="2"/>
    <n v="2"/>
    <n v="3"/>
    <n v="4"/>
    <n v="3"/>
    <n v="2"/>
    <n v="2"/>
    <n v="4"/>
    <n v="2"/>
    <n v="2"/>
    <n v="2"/>
    <n v="3"/>
    <n v="2"/>
    <n v="3"/>
    <n v="2"/>
    <n v="1"/>
    <n v="2"/>
    <n v="4"/>
    <n v="4"/>
    <n v="1"/>
    <n v="2"/>
    <n v="2"/>
    <n v="1"/>
    <n v="5"/>
    <n v="2"/>
    <n v="2"/>
    <n v="2"/>
    <n v="2"/>
    <n v="2"/>
    <n v="2"/>
    <n v="2"/>
    <n v="2"/>
    <n v="2"/>
    <n v="4"/>
    <n v="2"/>
    <n v="2"/>
    <n v="2"/>
    <n v="3.25"/>
    <n v="3.25"/>
    <n v="3.75"/>
    <x v="8"/>
    <n v="3.5"/>
    <x v="3"/>
    <n v="4.25"/>
    <x v="5"/>
    <n v="3"/>
    <n v="3.5"/>
    <n v="3.75"/>
    <n v="3"/>
    <x v="6"/>
    <n v="3.75"/>
    <n v="2.5"/>
    <n v="2"/>
    <x v="7"/>
    <x v="2"/>
    <n v="3.25"/>
    <n v="3.5"/>
    <n v="4.5"/>
    <x v="11"/>
    <n v="3.25"/>
    <n v="3.5"/>
    <n v="4"/>
    <n v="4.5"/>
    <n v="4.25"/>
    <n v="4"/>
    <x v="3"/>
    <n v="4"/>
  </r>
  <r>
    <n v="82"/>
    <d v="2023-06-23T14:03:37"/>
    <d v="2023-06-23T14:06:20"/>
    <s v="Consinto em participar no questionário e que os dados recolhidos sejam utilizados para os fins acima referidos."/>
    <s v="23"/>
    <s v="Masculino"/>
    <s v="Solteiro(a)"/>
    <s v="Não"/>
    <s v="Licenciatura (3-5 anos)"/>
    <s v="Engenharia e Tecnologia"/>
    <s v="Estudante"/>
    <s v="Estudante"/>
    <s v="Uma vez por dia"/>
    <s v="Computador (portátil, desktop...);Consolas portáteis (Nintendo switch, PSP, Wii U, etc..);Dispositivos móveis (telemóvel, tablet);"/>
    <s v="Acção;Aventura;Multiplayer;Plataforma;"/>
    <m/>
    <m/>
    <m/>
    <m/>
    <n v="1"/>
    <n v="0"/>
    <n v="2.8098619999999999"/>
    <n v="0"/>
    <n v="0"/>
    <n v="0"/>
    <n v="6.3633980000000001"/>
    <n v="0"/>
    <n v="2"/>
    <n v="0.86666666666666659"/>
    <n v="3.9724374999999998"/>
    <n v="1.05"/>
    <m/>
    <m/>
    <m/>
    <m/>
    <n v="1"/>
    <n v="1"/>
    <n v="1"/>
    <m/>
    <m/>
    <m/>
    <m/>
    <n v="0"/>
    <n v="1"/>
    <n v="10.854190000000001"/>
    <n v="3.7499999999999999E-2"/>
    <n v="0"/>
    <m/>
    <m/>
    <n v="0"/>
    <n v="1"/>
    <n v="8.0882989999999992"/>
    <n v="0.51500000000000001"/>
    <m/>
    <m/>
    <m/>
    <m/>
    <n v="0"/>
    <m/>
    <m/>
    <m/>
    <m/>
    <m/>
    <m/>
    <n v="0"/>
    <n v="1"/>
    <n v="9.4242369999999998"/>
    <n v="0"/>
    <m/>
    <m/>
    <m/>
    <m/>
    <n v="0"/>
    <n v="1"/>
    <n v="7.2103000000000002"/>
    <n v="0"/>
    <n v="0"/>
    <m/>
    <m/>
    <n v="2"/>
    <n v="0.8"/>
    <n v="27.694790000000001"/>
    <n v="2.35"/>
    <m/>
    <m/>
    <m/>
    <m/>
    <n v="0"/>
    <m/>
    <m/>
    <x v="4"/>
    <n v="2"/>
    <n v="1"/>
    <n v="0.2"/>
    <n v="0"/>
    <n v="1"/>
    <n v="1"/>
    <n v="1"/>
    <n v="3"/>
    <n v="285"/>
    <n v="1400"/>
    <n v="3"/>
    <m/>
    <m/>
    <m/>
    <m/>
    <m/>
    <m/>
    <x v="1"/>
    <n v="0"/>
    <m/>
    <n v="5"/>
    <n v="3"/>
    <n v="4"/>
    <n v="4"/>
    <n v="3"/>
    <n v="4"/>
    <n v="2"/>
    <n v="4"/>
    <n v="1"/>
    <n v="3"/>
    <n v="3"/>
    <n v="3"/>
    <n v="2"/>
    <n v="4"/>
    <n v="4"/>
    <n v="4"/>
    <n v="2"/>
    <n v="4"/>
    <n v="1"/>
    <n v="3"/>
    <n v="4"/>
    <n v="4"/>
    <n v="4"/>
    <n v="1"/>
    <n v="4"/>
    <n v="4"/>
    <n v="4"/>
    <n v="1"/>
    <n v="4"/>
    <n v="2"/>
    <n v="4"/>
    <n v="4"/>
    <n v="5"/>
    <n v="4"/>
    <n v="1"/>
    <n v="2"/>
    <n v="2"/>
    <n v="4"/>
    <n v="1"/>
    <n v="4"/>
    <n v="1"/>
    <n v="2"/>
    <n v="3"/>
    <n v="4"/>
    <n v="4"/>
    <n v="4"/>
    <n v="3"/>
    <n v="2"/>
    <n v="2"/>
    <n v="2"/>
    <n v="2"/>
    <n v="5"/>
    <n v="2"/>
    <n v="4"/>
    <n v="3"/>
    <n v="2"/>
    <n v="5"/>
    <n v="5"/>
    <n v="4"/>
    <n v="2"/>
    <n v="4"/>
    <n v="3"/>
    <n v="5"/>
    <n v="3"/>
    <n v="2"/>
    <n v="2"/>
    <n v="2"/>
    <n v="3"/>
    <n v="2"/>
    <n v="2"/>
    <n v="2"/>
    <n v="2"/>
    <n v="2"/>
    <n v="4"/>
    <n v="2"/>
    <n v="2"/>
    <n v="4"/>
    <n v="4"/>
    <n v="2"/>
    <n v="1"/>
    <n v="3"/>
    <n v="4"/>
    <n v="5"/>
    <n v="4"/>
    <n v="4"/>
    <n v="2"/>
    <n v="3"/>
    <n v="5"/>
    <n v="1"/>
    <n v="1"/>
    <n v="2"/>
    <n v="4"/>
    <n v="2"/>
    <n v="4"/>
    <n v="4"/>
    <n v="3"/>
    <n v="4"/>
    <n v="3"/>
    <n v="2"/>
    <n v="2"/>
    <n v="2"/>
    <n v="4"/>
    <n v="4"/>
    <n v="2"/>
    <n v="2"/>
    <n v="2"/>
    <n v="3"/>
    <n v="5"/>
    <n v="4"/>
    <n v="2"/>
    <n v="3"/>
    <n v="4"/>
    <n v="1"/>
    <n v="2"/>
    <n v="2"/>
    <n v="4"/>
    <n v="3"/>
    <n v="4"/>
    <n v="3"/>
    <n v="2"/>
    <n v="2"/>
    <n v="2.25"/>
    <n v="3.25"/>
    <n v="4"/>
    <x v="3"/>
    <n v="3.25"/>
    <x v="2"/>
    <n v="4.25"/>
    <x v="1"/>
    <n v="2"/>
    <n v="3.75"/>
    <n v="3"/>
    <n v="3"/>
    <x v="4"/>
    <n v="2.75"/>
    <n v="2.25"/>
    <n v="2.5"/>
    <x v="5"/>
    <x v="3"/>
    <n v="4.5"/>
    <n v="3.75"/>
    <n v="2.75"/>
    <x v="11"/>
    <n v="3.5"/>
    <n v="3.5"/>
    <n v="3.25"/>
    <n v="4.5"/>
    <n v="4"/>
    <n v="4.5"/>
    <x v="6"/>
    <n v="4.25"/>
  </r>
  <r>
    <n v="83"/>
    <d v="2023-07-03T11:34:06"/>
    <d v="2023-07-03T11:36:26"/>
    <s v="Consinto em participar no questionário e que os dados recolhidos sejam utilizados para os fins acima referidos."/>
    <s v="22"/>
    <s v="Feminino"/>
    <s v="Solteiro(a)"/>
    <s v="Não"/>
    <s v="Licenciatura (3-5 anos)"/>
    <s v="Engenharia e Tecnologia"/>
    <s v="Estudante"/>
    <s v="Engenheira Química"/>
    <s v="Nunca"/>
    <s v="Não costumo jogar;"/>
    <s v="Aventura;Multiplayer;Puzzles;"/>
    <m/>
    <m/>
    <m/>
    <m/>
    <m/>
    <m/>
    <m/>
    <m/>
    <n v="2"/>
    <n v="1"/>
    <m/>
    <n v="2.1025"/>
    <m/>
    <m/>
    <m/>
    <m/>
    <n v="0"/>
    <n v="1"/>
    <n v="36.008739999999996"/>
    <n v="0"/>
    <n v="1"/>
    <n v="0"/>
    <n v="1"/>
    <n v="4"/>
    <n v="0.28125"/>
    <n v="-1"/>
    <n v="4.45"/>
    <n v="0"/>
    <n v="1"/>
    <n v="7.7513379999999996"/>
    <n v="0.1075"/>
    <n v="0"/>
    <m/>
    <m/>
    <m/>
    <m/>
    <m/>
    <m/>
    <n v="0"/>
    <n v="1"/>
    <n v="7.9353180000000005"/>
    <n v="0"/>
    <n v="0"/>
    <m/>
    <m/>
    <n v="1"/>
    <n v="0.4"/>
    <m/>
    <n v="1.05"/>
    <n v="0"/>
    <n v="1"/>
    <n v="9.8360419999999991"/>
    <n v="0"/>
    <m/>
    <m/>
    <m/>
    <m/>
    <n v="0"/>
    <n v="1"/>
    <n v="9.6166400000000003"/>
    <n v="0"/>
    <n v="0"/>
    <m/>
    <m/>
    <m/>
    <m/>
    <m/>
    <m/>
    <n v="0"/>
    <n v="1"/>
    <n v="43.299320000000002"/>
    <n v="2.2499999999999999E-2"/>
    <n v="1"/>
    <n v="0"/>
    <n v="1"/>
    <x v="3"/>
    <n v="1"/>
    <n v="2"/>
    <n v="0.4"/>
    <n v="0"/>
    <n v="0"/>
    <n v="0.625"/>
    <n v="0.83636363636363631"/>
    <n v="1"/>
    <n v="435"/>
    <n v="918"/>
    <n v="1"/>
    <m/>
    <m/>
    <m/>
    <m/>
    <m/>
    <m/>
    <x v="1"/>
    <n v="0"/>
    <m/>
    <n v="5"/>
    <n v="2"/>
    <n v="3"/>
    <n v="5"/>
    <n v="3"/>
    <n v="3"/>
    <n v="1"/>
    <n v="3"/>
    <n v="1"/>
    <n v="5"/>
    <n v="3"/>
    <n v="3"/>
    <n v="4"/>
    <n v="5"/>
    <n v="4"/>
    <n v="4"/>
    <n v="3"/>
    <n v="3"/>
    <n v="1"/>
    <n v="4"/>
    <n v="3"/>
    <n v="3"/>
    <n v="2"/>
    <n v="1"/>
    <n v="2"/>
    <n v="5"/>
    <n v="3"/>
    <n v="3"/>
    <n v="4"/>
    <n v="3"/>
    <n v="5"/>
    <n v="4"/>
    <n v="4"/>
    <n v="5"/>
    <n v="4"/>
    <n v="3"/>
    <n v="1"/>
    <n v="2"/>
    <n v="1"/>
    <n v="2"/>
    <n v="3"/>
    <n v="1"/>
    <n v="2"/>
    <n v="4"/>
    <n v="4"/>
    <n v="5"/>
    <n v="3"/>
    <n v="5"/>
    <n v="3"/>
    <n v="4"/>
    <n v="3"/>
    <n v="2"/>
    <n v="4"/>
    <n v="2"/>
    <n v="4"/>
    <n v="3"/>
    <n v="3"/>
    <n v="2"/>
    <n v="4"/>
    <n v="3"/>
    <n v="4"/>
    <n v="4"/>
    <n v="5"/>
    <n v="4"/>
    <n v="2"/>
    <n v="3"/>
    <n v="4"/>
    <n v="2"/>
    <n v="4"/>
    <n v="1"/>
    <n v="1"/>
    <n v="3"/>
    <n v="1"/>
    <n v="5"/>
    <n v="2"/>
    <n v="1"/>
    <n v="5"/>
    <n v="2"/>
    <n v="3"/>
    <n v="2"/>
    <n v="1"/>
    <n v="5"/>
    <n v="2"/>
    <n v="4"/>
    <n v="1"/>
    <n v="3"/>
    <n v="4"/>
    <n v="3"/>
    <n v="1"/>
    <n v="3"/>
    <n v="2"/>
    <n v="3"/>
    <n v="3"/>
    <n v="4"/>
    <n v="4"/>
    <n v="2"/>
    <n v="3"/>
    <n v="5"/>
    <n v="2"/>
    <n v="5"/>
    <n v="1"/>
    <n v="5"/>
    <n v="4"/>
    <n v="1"/>
    <n v="2"/>
    <n v="2"/>
    <n v="2"/>
    <n v="5"/>
    <n v="3"/>
    <n v="1"/>
    <n v="1"/>
    <n v="5"/>
    <n v="1"/>
    <n v="5"/>
    <n v="1"/>
    <n v="3"/>
    <n v="2"/>
    <n v="3"/>
    <n v="3"/>
    <n v="4"/>
    <n v="1"/>
    <n v="2.75"/>
    <n v="4.75"/>
    <n v="4.25"/>
    <x v="2"/>
    <n v="3"/>
    <x v="8"/>
    <n v="4.25"/>
    <x v="3"/>
    <n v="2.5"/>
    <n v="4.5"/>
    <n v="2"/>
    <n v="4"/>
    <x v="3"/>
    <n v="1.25"/>
    <n v="1.75"/>
    <n v="2.25"/>
    <x v="9"/>
    <x v="11"/>
    <n v="4"/>
    <n v="3.25"/>
    <n v="3"/>
    <x v="8"/>
    <n v="1.75"/>
    <n v="3.25"/>
    <n v="4"/>
    <n v="4"/>
    <n v="4.25"/>
    <n v="4.25"/>
    <x v="12"/>
    <n v="3.25"/>
  </r>
  <r>
    <n v="84"/>
    <d v="2023-07-03T11:34:18"/>
    <d v="2023-07-03T11:36:32"/>
    <s v="Consinto em participar no questionário e que os dados recolhidos sejam utilizados para os fins acima referidos."/>
    <s v="23"/>
    <s v="Feminino"/>
    <s v="Solteiro(a)"/>
    <s v="Não"/>
    <s v="Mestrado"/>
    <s v="Engenharia e Tecnologia"/>
    <s v="Estudante"/>
    <s v="Estudante "/>
    <s v="Já joguei, mas de momento não jogo"/>
    <s v="Dispositivos móveis (telemóvel, tablet);Consolas portáteis (Nintendo switch, PSP, Wii U, etc..);"/>
    <s v="Aventura;Multiplayer;"/>
    <m/>
    <m/>
    <m/>
    <m/>
    <m/>
    <m/>
    <m/>
    <m/>
    <m/>
    <m/>
    <m/>
    <m/>
    <n v="1"/>
    <n v="0.2"/>
    <m/>
    <n v="1.05"/>
    <n v="0"/>
    <n v="1"/>
    <n v="3.9311250000000002"/>
    <n v="0"/>
    <n v="0"/>
    <m/>
    <m/>
    <n v="5"/>
    <n v="7.4999999999999997E-2"/>
    <m/>
    <n v="5.5"/>
    <n v="0"/>
    <n v="1"/>
    <n v="7.5639690000000002"/>
    <n v="9.7500000000000003E-2"/>
    <n v="0"/>
    <m/>
    <m/>
    <m/>
    <m/>
    <m/>
    <m/>
    <n v="0"/>
    <n v="1"/>
    <n v="5.2633980000000005"/>
    <n v="0"/>
    <n v="0"/>
    <m/>
    <m/>
    <m/>
    <m/>
    <m/>
    <m/>
    <n v="0"/>
    <n v="1"/>
    <n v="9.4086479999999995"/>
    <n v="0"/>
    <m/>
    <m/>
    <m/>
    <m/>
    <n v="0"/>
    <n v="0.5"/>
    <n v="10.42413"/>
    <n v="0"/>
    <n v="1"/>
    <n v="1"/>
    <n v="0.83333333333333337"/>
    <m/>
    <m/>
    <m/>
    <m/>
    <n v="0"/>
    <n v="0.5"/>
    <n v="11.818299999999999"/>
    <n v="3.7499999999999999E-2"/>
    <n v="0"/>
    <m/>
    <m/>
    <x v="1"/>
    <n v="2"/>
    <n v="1"/>
    <n v="0.2"/>
    <n v="0"/>
    <n v="0"/>
    <n v="0"/>
    <n v="0.30909090909090908"/>
    <n v="0"/>
    <n v="148"/>
    <n v="340"/>
    <n v="0"/>
    <m/>
    <m/>
    <m/>
    <m/>
    <m/>
    <m/>
    <x v="1"/>
    <n v="0"/>
    <m/>
    <n v="4"/>
    <n v="4"/>
    <n v="5"/>
    <n v="3"/>
    <n v="4"/>
    <n v="2"/>
    <n v="2"/>
    <n v="4"/>
    <n v="1"/>
    <n v="3"/>
    <n v="3"/>
    <n v="4"/>
    <n v="4"/>
    <n v="5"/>
    <n v="5"/>
    <n v="3"/>
    <n v="3"/>
    <n v="4"/>
    <n v="2"/>
    <n v="5"/>
    <n v="2"/>
    <n v="4"/>
    <n v="4"/>
    <n v="2"/>
    <n v="3"/>
    <n v="2"/>
    <n v="4"/>
    <n v="4"/>
    <n v="4"/>
    <n v="3"/>
    <n v="4"/>
    <n v="4"/>
    <n v="4"/>
    <n v="4"/>
    <n v="3"/>
    <n v="2"/>
    <n v="3"/>
    <n v="4"/>
    <n v="1"/>
    <n v="4"/>
    <n v="1"/>
    <n v="3"/>
    <n v="4"/>
    <n v="4"/>
    <n v="4"/>
    <n v="3"/>
    <n v="4"/>
    <n v="2"/>
    <n v="1"/>
    <n v="4"/>
    <n v="4"/>
    <n v="4"/>
    <n v="2"/>
    <n v="4"/>
    <n v="4"/>
    <n v="3"/>
    <n v="4"/>
    <n v="4"/>
    <n v="4"/>
    <n v="2"/>
    <n v="2"/>
    <n v="2"/>
    <n v="4"/>
    <n v="4"/>
    <n v="4"/>
    <n v="2"/>
    <n v="4"/>
    <n v="2"/>
    <n v="4"/>
    <n v="1"/>
    <n v="2"/>
    <n v="3"/>
    <n v="3"/>
    <n v="4"/>
    <n v="1"/>
    <n v="1"/>
    <n v="3"/>
    <n v="4"/>
    <n v="2"/>
    <n v="1"/>
    <n v="1"/>
    <n v="4"/>
    <n v="3"/>
    <n v="2"/>
    <n v="3"/>
    <n v="3"/>
    <n v="3"/>
    <n v="5"/>
    <n v="1"/>
    <n v="1"/>
    <n v="2"/>
    <n v="4"/>
    <n v="2"/>
    <n v="4"/>
    <n v="3"/>
    <n v="3"/>
    <n v="4"/>
    <n v="4"/>
    <n v="1"/>
    <n v="1"/>
    <n v="1"/>
    <n v="4"/>
    <n v="3"/>
    <n v="1"/>
    <n v="1"/>
    <n v="1"/>
    <n v="2"/>
    <n v="4"/>
    <n v="3"/>
    <n v="1"/>
    <n v="1"/>
    <n v="4"/>
    <n v="1"/>
    <n v="2"/>
    <n v="1"/>
    <n v="2"/>
    <n v="3"/>
    <n v="5"/>
    <n v="3"/>
    <n v="1"/>
    <n v="1"/>
    <n v="3.5"/>
    <n v="3.5"/>
    <n v="4.75"/>
    <x v="6"/>
    <n v="3.5"/>
    <x v="2"/>
    <n v="3.5"/>
    <x v="0"/>
    <n v="2.25"/>
    <n v="3.25"/>
    <n v="2"/>
    <n v="2.75"/>
    <x v="1"/>
    <n v="2.25"/>
    <n v="3.25"/>
    <n v="3.25"/>
    <x v="7"/>
    <x v="3"/>
    <n v="4.25"/>
    <n v="4.25"/>
    <n v="3.75"/>
    <x v="2"/>
    <n v="4"/>
    <n v="4"/>
    <n v="3.5"/>
    <n v="5"/>
    <n v="4.75"/>
    <n v="4.75"/>
    <x v="2"/>
    <n v="4.5"/>
  </r>
  <r>
    <n v="85"/>
    <d v="2023-07-04T14:04:35"/>
    <d v="2023-07-04T14:06:21"/>
    <s v="Consinto em participar no questionário e que os dados recolhidos sejam utilizados para os fins acima referidos."/>
    <s v="51"/>
    <s v="Masculino"/>
    <s v="Divorciado(a)/Separado(a)"/>
    <s v="Sim"/>
    <s v="Doutoramento"/>
    <s v="Engenharia e Tecnologia"/>
    <s v="Trabalhador(a) por conta de outrem"/>
    <s v="Professor "/>
    <s v="Algumas vezes por semana"/>
    <s v="Dispositivos móveis (telemóvel, tablet);"/>
    <s v="Multiplayer;Desporto;"/>
    <n v="0"/>
    <n v="0.66666666666666663"/>
    <n v="15.904612999999999"/>
    <n v="0"/>
    <m/>
    <m/>
    <m/>
    <m/>
    <n v="0"/>
    <n v="0"/>
    <n v="12.646468"/>
    <n v="0"/>
    <m/>
    <m/>
    <m/>
    <m/>
    <n v="0"/>
    <n v="1"/>
    <n v="13.856018000000001"/>
    <n v="0"/>
    <n v="0"/>
    <m/>
    <m/>
    <n v="2"/>
    <n v="0.375"/>
    <m/>
    <n v="2.2000000000000002"/>
    <n v="0"/>
    <n v="1"/>
    <n v="18.159534000000001"/>
    <n v="0"/>
    <n v="0"/>
    <m/>
    <m/>
    <n v="1"/>
    <n v="0.25"/>
    <m/>
    <n v="1.0024999999999999"/>
    <n v="0"/>
    <n v="1"/>
    <n v="5.7979380000000003"/>
    <n v="0"/>
    <n v="0"/>
    <m/>
    <m/>
    <n v="1"/>
    <n v="0"/>
    <m/>
    <n v="1.05"/>
    <n v="0"/>
    <n v="1"/>
    <n v="15.718821"/>
    <n v="0"/>
    <m/>
    <m/>
    <m/>
    <m/>
    <n v="0"/>
    <n v="1"/>
    <n v="17.034088000000001"/>
    <n v="0"/>
    <n v="1"/>
    <n v="1"/>
    <n v="0.5"/>
    <m/>
    <m/>
    <m/>
    <m/>
    <n v="0"/>
    <n v="1"/>
    <n v="20.363702"/>
    <n v="0.155"/>
    <n v="0"/>
    <m/>
    <m/>
    <x v="5"/>
    <n v="2"/>
    <n v="1"/>
    <n v="0.2"/>
    <n v="0"/>
    <n v="1"/>
    <n v="0.625"/>
    <n v="0.55454545454545456"/>
    <n v="1"/>
    <n v="267"/>
    <n v="710"/>
    <n v="1"/>
    <m/>
    <m/>
    <m/>
    <m/>
    <m/>
    <m/>
    <x v="1"/>
    <n v="0"/>
    <m/>
    <n v="5"/>
    <n v="4"/>
    <n v="3"/>
    <n v="3"/>
    <n v="5"/>
    <n v="1"/>
    <n v="2"/>
    <n v="3"/>
    <n v="1"/>
    <n v="4"/>
    <n v="1"/>
    <n v="4"/>
    <n v="2"/>
    <n v="4"/>
    <n v="5"/>
    <n v="4"/>
    <n v="4"/>
    <n v="3"/>
    <n v="1"/>
    <n v="5"/>
    <n v="2"/>
    <n v="3"/>
    <n v="4"/>
    <n v="3"/>
    <n v="3"/>
    <n v="1"/>
    <n v="3"/>
    <n v="3"/>
    <n v="2"/>
    <n v="4"/>
    <n v="4"/>
    <n v="3"/>
    <n v="2"/>
    <n v="3"/>
    <n v="3"/>
    <n v="1"/>
    <n v="1"/>
    <n v="4"/>
    <n v="1"/>
    <n v="1"/>
    <n v="1"/>
    <n v="3"/>
    <n v="3"/>
    <n v="4"/>
    <n v="5"/>
    <n v="4"/>
    <n v="4"/>
    <n v="4"/>
    <n v="1"/>
    <n v="4"/>
    <n v="5"/>
    <n v="3"/>
    <n v="5"/>
    <n v="4"/>
    <n v="4"/>
    <n v="2"/>
    <n v="3"/>
    <n v="5"/>
    <n v="4"/>
    <n v="3"/>
    <n v="3"/>
    <n v="2"/>
    <n v="2"/>
    <n v="3"/>
    <n v="4"/>
    <n v="1"/>
    <n v="4"/>
    <n v="5"/>
    <n v="4"/>
    <n v="1"/>
    <n v="1"/>
    <n v="1"/>
    <n v="4"/>
    <n v="2"/>
    <n v="1"/>
    <n v="2"/>
    <n v="4"/>
    <n v="3"/>
    <n v="4"/>
    <n v="1"/>
    <n v="1"/>
    <n v="3"/>
    <n v="3"/>
    <n v="3"/>
    <n v="4"/>
    <n v="1"/>
    <n v="2"/>
    <n v="5"/>
    <n v="4"/>
    <n v="2"/>
    <n v="4"/>
    <n v="4"/>
    <n v="3"/>
    <n v="1"/>
    <n v="3"/>
    <n v="4"/>
    <n v="5"/>
    <n v="4"/>
    <n v="4"/>
    <n v="1"/>
    <n v="1"/>
    <n v="5"/>
    <n v="2"/>
    <n v="1"/>
    <n v="2"/>
    <n v="1"/>
    <n v="2"/>
    <n v="4"/>
    <n v="4"/>
    <n v="1"/>
    <n v="1"/>
    <n v="4"/>
    <n v="1"/>
    <n v="5"/>
    <n v="3"/>
    <n v="2"/>
    <n v="4"/>
    <n v="5"/>
    <n v="5"/>
    <n v="3"/>
    <n v="1"/>
    <n v="4"/>
    <n v="4.75"/>
    <n v="4.75"/>
    <x v="6"/>
    <n v="4"/>
    <x v="5"/>
    <n v="4"/>
    <x v="6"/>
    <n v="1"/>
    <n v="4"/>
    <n v="2"/>
    <n v="1.75"/>
    <x v="4"/>
    <n v="1.75"/>
    <n v="3.75"/>
    <n v="3.25"/>
    <x v="4"/>
    <x v="2"/>
    <n v="2"/>
    <n v="2.5"/>
    <n v="3.5"/>
    <x v="3"/>
    <n v="2.25"/>
    <n v="2.75"/>
    <n v="3"/>
    <n v="5"/>
    <n v="4.25"/>
    <n v="5"/>
    <x v="9"/>
    <n v="3.25"/>
  </r>
  <r>
    <n v="86"/>
    <d v="2023-07-05T12:27:53"/>
    <d v="2023-07-05T12:29:39"/>
    <s v="Consinto em participar no questionário e que os dados recolhidos sejam utilizados para os fins acima referidos."/>
    <s v="27"/>
    <s v="Feminino"/>
    <s v="Num relacionamento (casamento, união de facto, etc.)"/>
    <s v="Não"/>
    <s v="Mestrado"/>
    <s v="Ciências médicas e da saúde"/>
    <s v="Estudante"/>
    <s v="Investigadora (aluna de doutoramento)"/>
    <s v="Já joguei, mas de momento não jogo"/>
    <s v="Consolas fixas (XBox, Playstation...);Consolas portáteis (Nintendo switch, PSP, Wii U, etc..);"/>
    <s v="Aventura;Acção;Batalha/luta;Estratégia;Fantasia;RPG/MMORPG;"/>
    <m/>
    <m/>
    <m/>
    <m/>
    <m/>
    <m/>
    <m/>
    <m/>
    <m/>
    <m/>
    <m/>
    <m/>
    <n v="1"/>
    <n v="0.2"/>
    <m/>
    <n v="1.05"/>
    <n v="0"/>
    <n v="1"/>
    <n v="5.3090219999999997"/>
    <n v="0"/>
    <n v="0"/>
    <m/>
    <m/>
    <n v="2"/>
    <n v="0.3125"/>
    <m/>
    <n v="2.2000000000000002"/>
    <n v="0"/>
    <n v="1"/>
    <n v="7.7879440000000004"/>
    <n v="0.32"/>
    <n v="0"/>
    <m/>
    <m/>
    <m/>
    <m/>
    <m/>
    <m/>
    <n v="0"/>
    <n v="1"/>
    <n v="5.2518860000000007"/>
    <n v="0"/>
    <n v="0"/>
    <m/>
    <m/>
    <m/>
    <m/>
    <m/>
    <m/>
    <n v="0"/>
    <n v="1"/>
    <n v="10.63326"/>
    <n v="6.5000000000000002E-2"/>
    <m/>
    <m/>
    <m/>
    <m/>
    <n v="0"/>
    <n v="1"/>
    <n v="14.51066"/>
    <n v="0"/>
    <n v="0"/>
    <m/>
    <m/>
    <m/>
    <m/>
    <m/>
    <m/>
    <n v="0"/>
    <n v="1"/>
    <n v="12.434529999999999"/>
    <n v="9.2499999999999999E-2"/>
    <n v="1"/>
    <n v="1"/>
    <n v="0.83333333333333337"/>
    <x v="1"/>
    <n v="2"/>
    <n v="1"/>
    <n v="0.2"/>
    <n v="0"/>
    <n v="0"/>
    <n v="4.1666666666666664E-2"/>
    <n v="0.31818181818181818"/>
    <n v="0"/>
    <n v="174"/>
    <n v="350"/>
    <n v="0"/>
    <m/>
    <m/>
    <m/>
    <m/>
    <m/>
    <m/>
    <x v="1"/>
    <n v="0"/>
    <m/>
    <n v="5"/>
    <n v="4"/>
    <n v="4"/>
    <n v="4"/>
    <n v="5"/>
    <n v="2"/>
    <n v="3"/>
    <n v="3"/>
    <n v="1"/>
    <n v="4"/>
    <n v="3"/>
    <n v="5"/>
    <n v="5"/>
    <n v="5"/>
    <n v="5"/>
    <n v="1"/>
    <n v="4"/>
    <n v="5"/>
    <n v="1"/>
    <n v="5"/>
    <n v="4"/>
    <n v="5"/>
    <n v="5"/>
    <n v="3"/>
    <n v="3"/>
    <n v="3"/>
    <n v="3"/>
    <n v="5"/>
    <n v="5"/>
    <n v="4"/>
    <n v="4"/>
    <n v="2"/>
    <n v="3"/>
    <n v="4"/>
    <n v="3"/>
    <n v="3"/>
    <n v="4"/>
    <n v="4"/>
    <n v="1"/>
    <n v="4"/>
    <n v="3"/>
    <n v="4"/>
    <n v="3"/>
    <n v="4"/>
    <n v="5"/>
    <n v="1"/>
    <n v="5"/>
    <n v="3"/>
    <n v="2"/>
    <n v="5"/>
    <n v="1"/>
    <n v="3"/>
    <n v="1"/>
    <n v="3"/>
    <n v="4"/>
    <n v="1"/>
    <n v="4"/>
    <n v="1"/>
    <n v="5"/>
    <n v="4"/>
    <n v="3"/>
    <n v="1"/>
    <n v="4"/>
    <n v="4"/>
    <n v="4"/>
    <n v="3"/>
    <n v="4"/>
    <n v="5"/>
    <n v="4"/>
    <n v="1"/>
    <n v="2"/>
    <n v="4"/>
    <n v="4"/>
    <n v="2"/>
    <n v="2"/>
    <n v="1"/>
    <n v="5"/>
    <n v="4"/>
    <n v="2"/>
    <n v="1"/>
    <n v="1"/>
    <n v="4"/>
    <n v="4"/>
    <n v="4"/>
    <n v="3"/>
    <n v="4"/>
    <n v="4"/>
    <n v="4"/>
    <n v="1"/>
    <n v="1"/>
    <n v="4"/>
    <n v="4"/>
    <n v="3"/>
    <n v="5"/>
    <n v="2"/>
    <n v="4"/>
    <n v="4"/>
    <n v="1"/>
    <n v="3"/>
    <n v="1"/>
    <n v="4"/>
    <n v="3"/>
    <n v="3"/>
    <n v="1"/>
    <n v="1"/>
    <n v="1"/>
    <n v="3"/>
    <n v="2"/>
    <n v="1"/>
    <n v="1"/>
    <n v="1"/>
    <n v="4"/>
    <n v="1"/>
    <n v="1"/>
    <n v="3"/>
    <n v="1"/>
    <n v="3"/>
    <n v="4"/>
    <n v="4"/>
    <n v="2"/>
    <n v="3"/>
    <n v="4"/>
    <n v="3"/>
    <n v="5"/>
    <x v="9"/>
    <n v="3.5"/>
    <x v="11"/>
    <n v="4"/>
    <x v="1"/>
    <n v="3.25"/>
    <n v="2.5"/>
    <n v="3.25"/>
    <n v="2.75"/>
    <x v="4"/>
    <n v="3.5"/>
    <n v="4"/>
    <n v="4.25"/>
    <x v="6"/>
    <x v="7"/>
    <n v="4"/>
    <n v="2.75"/>
    <n v="4.25"/>
    <x v="12"/>
    <n v="4.25"/>
    <n v="3.25"/>
    <n v="4"/>
    <n v="5"/>
    <n v="4.5"/>
    <n v="4.75"/>
    <x v="5"/>
    <n v="4.75"/>
  </r>
  <r>
    <n v="87"/>
    <d v="2023-07-06T17:04:51"/>
    <d v="2023-07-06T17:06:04"/>
    <s v="Consinto em participar no questionário e que os dados recolhidos sejam utilizados para os fins acima referidos."/>
    <s v="22"/>
    <s v="Feminino"/>
    <s v="Solteiro(a)"/>
    <s v="Não"/>
    <s v="Licenciatura (3-5 anos)"/>
    <s v="Engenharia e Tecnologia"/>
    <s v="Estudante"/>
    <s v="Estudante"/>
    <s v="Algumas vezes por semana"/>
    <s v="Computador (portátil, desktop...);Dispositivos móveis (telemóvel, tablet);"/>
    <s v="Puzzles;Simulação;Multiplayer;"/>
    <m/>
    <m/>
    <m/>
    <m/>
    <m/>
    <m/>
    <m/>
    <m/>
    <m/>
    <m/>
    <m/>
    <m/>
    <m/>
    <m/>
    <m/>
    <m/>
    <n v="0"/>
    <n v="1"/>
    <n v="7.1164359999999993"/>
    <n v="0"/>
    <n v="0"/>
    <m/>
    <m/>
    <n v="1"/>
    <n v="0"/>
    <m/>
    <n v="1.1000000000000001"/>
    <n v="0"/>
    <n v="1"/>
    <n v="13.234249999999999"/>
    <n v="0.10249999999999999"/>
    <n v="0"/>
    <m/>
    <m/>
    <m/>
    <m/>
    <m/>
    <m/>
    <n v="0"/>
    <n v="1"/>
    <n v="6.2424989999999996"/>
    <n v="0"/>
    <n v="0"/>
    <m/>
    <m/>
    <m/>
    <m/>
    <m/>
    <m/>
    <n v="0"/>
    <n v="1"/>
    <n v="10.32194"/>
    <n v="0"/>
    <m/>
    <m/>
    <m/>
    <m/>
    <n v="0"/>
    <n v="1"/>
    <n v="8.8157709999999998"/>
    <n v="0"/>
    <n v="1"/>
    <n v="1"/>
    <n v="0"/>
    <n v="1"/>
    <n v="0"/>
    <m/>
    <n v="1.05"/>
    <n v="0"/>
    <n v="1"/>
    <n v="12.38843"/>
    <n v="1.7500000000000002E-2"/>
    <n v="0"/>
    <m/>
    <m/>
    <x v="1"/>
    <n v="0"/>
    <n v="1"/>
    <n v="0.2"/>
    <n v="0"/>
    <n v="0"/>
    <n v="2.0833333333333332E-2"/>
    <n v="0.13636363636363635"/>
    <n v="0"/>
    <n v="100"/>
    <n v="150"/>
    <n v="0"/>
    <m/>
    <m/>
    <m/>
    <m/>
    <m/>
    <m/>
    <x v="1"/>
    <n v="0"/>
    <m/>
    <n v="5"/>
    <n v="4"/>
    <n v="4"/>
    <n v="2"/>
    <n v="3"/>
    <n v="2"/>
    <n v="1"/>
    <n v="4"/>
    <n v="3"/>
    <n v="2"/>
    <n v="4"/>
    <n v="4"/>
    <n v="3"/>
    <n v="3"/>
    <n v="3"/>
    <n v="2"/>
    <n v="4"/>
    <n v="2"/>
    <n v="3"/>
    <n v="4"/>
    <n v="1"/>
    <n v="3"/>
    <n v="5"/>
    <n v="4"/>
    <n v="2"/>
    <n v="5"/>
    <n v="3"/>
    <n v="3"/>
    <n v="3"/>
    <n v="4"/>
    <n v="4"/>
    <n v="4"/>
    <n v="3"/>
    <n v="4"/>
    <n v="3"/>
    <n v="3"/>
    <n v="1"/>
    <n v="4"/>
    <n v="1"/>
    <n v="5"/>
    <n v="3"/>
    <n v="4"/>
    <n v="4"/>
    <n v="3"/>
    <n v="5"/>
    <n v="4"/>
    <n v="4"/>
    <n v="2"/>
    <n v="4"/>
    <n v="4"/>
    <n v="4"/>
    <n v="3"/>
    <n v="1"/>
    <n v="4"/>
    <n v="4"/>
    <n v="3"/>
    <n v="2"/>
    <n v="5"/>
    <n v="3"/>
    <n v="4"/>
    <n v="4"/>
    <n v="3"/>
    <n v="1"/>
    <n v="3"/>
    <n v="3"/>
    <n v="2"/>
    <n v="3"/>
    <n v="1"/>
    <s v="4 com a pergunta"/>
    <n v="3"/>
    <n v="5"/>
    <n v="3"/>
    <n v="4"/>
    <n v="4"/>
    <n v="3"/>
    <n v="1"/>
    <n v="5"/>
    <n v="4"/>
    <n v="3"/>
    <n v="2"/>
    <n v="1"/>
    <n v="4"/>
    <n v="3"/>
    <n v="2"/>
    <n v="4"/>
    <n v="2"/>
    <n v="3"/>
    <n v="2"/>
    <n v="3"/>
    <n v="2"/>
    <n v="2"/>
    <n v="4"/>
    <n v="3"/>
    <n v="2"/>
    <n v="3"/>
    <n v="3"/>
    <n v="2"/>
    <n v="3"/>
    <n v="2"/>
    <n v="2"/>
    <n v="4"/>
    <n v="5"/>
    <n v="2"/>
    <n v="2"/>
    <n v="2"/>
    <n v="3"/>
    <n v="3"/>
    <n v="4"/>
    <n v="3"/>
    <n v="2"/>
    <n v="2"/>
    <n v="4"/>
    <n v="1"/>
    <n v="1"/>
    <n v="3"/>
    <n v="3"/>
    <n v="2"/>
    <n v="2"/>
    <n v="4"/>
    <n v="3"/>
    <n v="4"/>
    <n v="3"/>
    <n v="1.5"/>
    <n v="4"/>
    <x v="5"/>
    <n v="3.25"/>
    <x v="12"/>
    <n v="4.25"/>
    <x v="2"/>
    <n v="2.75"/>
    <n v="3.5"/>
    <n v="1.75"/>
    <n v="3.75"/>
    <x v="4"/>
    <n v="2"/>
    <n v="4"/>
    <n v="3.5"/>
    <x v="4"/>
    <x v="9"/>
    <n v="2.5"/>
    <n v="4.25"/>
    <n v="3.25"/>
    <x v="10"/>
    <n v="4.75"/>
    <n v="3.25"/>
    <n v="3"/>
    <n v="3.75"/>
    <n v="3.25"/>
    <n v="3.25"/>
    <x v="8"/>
    <n v="3.25"/>
  </r>
  <r>
    <n v="88"/>
    <d v="2023-07-06T20:18:32"/>
    <d v="2023-07-06T20:20:10"/>
    <s v="Consinto em participar no questionário e que os dados recolhidos sejam utilizados para os fins acima referidos."/>
    <s v="35"/>
    <s v="Feminino"/>
    <s v="Num relacionamento (casamento, união de facto, etc.)"/>
    <s v="Não"/>
    <s v="Licenciatura (3-5 anos)"/>
    <s v="Outra"/>
    <s v="Trabalhador(a) por conta de outrem"/>
    <s v="Administrativa"/>
    <s v="Outra frequência"/>
    <s v="Dispositivos móveis (telemóvel, tablet);"/>
    <s v="Estratégia;"/>
    <m/>
    <m/>
    <m/>
    <m/>
    <m/>
    <m/>
    <m/>
    <m/>
    <m/>
    <m/>
    <m/>
    <m/>
    <n v="1"/>
    <n v="0"/>
    <m/>
    <n v="1.05"/>
    <n v="0"/>
    <n v="1"/>
    <n v="8.0717920000000003"/>
    <n v="0"/>
    <n v="0"/>
    <m/>
    <m/>
    <n v="3"/>
    <n v="0.375"/>
    <n v="198.82210000000001"/>
    <n v="3.3000000000000003"/>
    <m/>
    <m/>
    <m/>
    <m/>
    <n v="0"/>
    <m/>
    <m/>
    <m/>
    <m/>
    <m/>
    <m/>
    <n v="0"/>
    <n v="1"/>
    <n v="7.4557610000000007"/>
    <n v="0"/>
    <n v="0"/>
    <m/>
    <m/>
    <m/>
    <m/>
    <m/>
    <m/>
    <n v="0"/>
    <n v="1"/>
    <n v="16.139770000000002"/>
    <n v="7.4999999999999997E-2"/>
    <m/>
    <m/>
    <m/>
    <m/>
    <n v="0"/>
    <n v="1"/>
    <n v="15.65826"/>
    <n v="0"/>
    <n v="0"/>
    <m/>
    <m/>
    <m/>
    <m/>
    <m/>
    <m/>
    <n v="0"/>
    <n v="1"/>
    <n v="14.79243"/>
    <n v="0.09"/>
    <n v="0"/>
    <m/>
    <m/>
    <x v="1"/>
    <n v="2"/>
    <n v="0"/>
    <n v="0"/>
    <n v="0"/>
    <n v="0"/>
    <n v="6.25E-2"/>
    <n v="0.25454545454545452"/>
    <n v="0"/>
    <n v="132"/>
    <n v="280"/>
    <n v="0"/>
    <m/>
    <m/>
    <m/>
    <m/>
    <m/>
    <m/>
    <x v="1"/>
    <n v="0"/>
    <m/>
    <n v="4"/>
    <n v="4"/>
    <n v="4"/>
    <n v="4"/>
    <n v="3"/>
    <n v="2"/>
    <n v="4"/>
    <n v="4"/>
    <n v="1"/>
    <n v="4"/>
    <n v="2"/>
    <n v="4"/>
    <n v="4"/>
    <n v="4"/>
    <n v="4"/>
    <n v="1"/>
    <n v="3"/>
    <n v="4"/>
    <n v="3"/>
    <n v="4"/>
    <n v="3"/>
    <n v="4"/>
    <n v="4"/>
    <n v="2"/>
    <n v="2"/>
    <n v="2"/>
    <n v="4"/>
    <n v="3"/>
    <n v="4"/>
    <n v="3"/>
    <n v="3"/>
    <n v="4"/>
    <n v="3"/>
    <n v="3"/>
    <n v="3"/>
    <n v="2"/>
    <n v="4"/>
    <n v="4"/>
    <n v="2"/>
    <n v="2"/>
    <n v="1"/>
    <n v="4"/>
    <n v="4"/>
    <n v="4"/>
    <n v="4"/>
    <n v="2"/>
    <n v="4"/>
    <n v="2"/>
    <n v="3"/>
    <n v="3"/>
    <n v="3"/>
    <n v="4"/>
    <n v="3"/>
    <n v="3"/>
    <n v="4"/>
    <n v="2"/>
    <n v="5"/>
    <n v="3"/>
    <n v="4"/>
    <n v="2"/>
    <n v="2"/>
    <n v="2"/>
    <n v="3"/>
    <n v="4"/>
    <n v="4"/>
    <n v="2"/>
    <n v="2"/>
    <n v="2"/>
    <n v="4"/>
    <n v="2"/>
    <n v="1"/>
    <n v="1"/>
    <n v="4"/>
    <n v="2"/>
    <n v="2"/>
    <n v="3"/>
    <n v="2"/>
    <n v="4"/>
    <n v="2"/>
    <n v="1"/>
    <n v="2"/>
    <n v="3"/>
    <n v="3"/>
    <n v="2"/>
    <n v="3"/>
    <n v="2"/>
    <n v="2"/>
    <n v="5"/>
    <n v="3"/>
    <n v="1"/>
    <n v="2"/>
    <n v="2"/>
    <n v="2"/>
    <n v="3"/>
    <n v="3"/>
    <n v="4"/>
    <n v="4"/>
    <n v="2"/>
    <n v="2"/>
    <n v="2"/>
    <n v="2"/>
    <n v="5"/>
    <n v="2"/>
    <n v="2"/>
    <n v="2"/>
    <n v="2"/>
    <n v="3"/>
    <n v="3"/>
    <n v="2"/>
    <n v="2"/>
    <n v="2"/>
    <n v="3"/>
    <n v="3"/>
    <n v="2"/>
    <n v="2"/>
    <n v="2"/>
    <n v="3"/>
    <n v="4"/>
    <n v="5"/>
    <n v="2"/>
    <n v="2"/>
    <n v="3.5"/>
    <n v="4.25"/>
    <n v="3.75"/>
    <x v="8"/>
    <n v="3.5"/>
    <x v="8"/>
    <n v="2.75"/>
    <x v="0"/>
    <n v="1.25"/>
    <n v="2"/>
    <n v="3"/>
    <n v="2.25"/>
    <x v="1"/>
    <n v="4"/>
    <n v="4"/>
    <n v="3.5"/>
    <x v="8"/>
    <x v="3"/>
    <n v="3.25"/>
    <n v="4"/>
    <n v="4"/>
    <x v="1"/>
    <n v="3.75"/>
    <n v="2.5"/>
    <n v="3.5"/>
    <n v="4.25"/>
    <n v="4"/>
    <n v="3.75"/>
    <x v="2"/>
    <n v="4.25"/>
  </r>
  <r>
    <n v="89"/>
    <d v="2023-07-06T20:18:51"/>
    <d v="2023-07-06T20:20:10"/>
    <s v="Consinto em participar no questionário e que os dados recolhidos sejam utilizados para os fins acima referidos."/>
    <s v="36"/>
    <s v="Masculino"/>
    <s v="Solteiro(a)"/>
    <s v="Não"/>
    <s v="Mestrado"/>
    <s v="Engenharia e Tecnologia"/>
    <s v="Trabalhador(a) por conta de outrem"/>
    <s v="Engenheiro mecânico "/>
    <s v="Já joguei, mas de momento não jogo"/>
    <s v="Consolas fixas (XBox, Playstation...);Computador (portátil, desktop...);"/>
    <s v="Simulação;"/>
    <m/>
    <m/>
    <m/>
    <m/>
    <m/>
    <m/>
    <m/>
    <m/>
    <n v="1"/>
    <n v="0.125"/>
    <m/>
    <n v="1.0024999999999999"/>
    <m/>
    <m/>
    <m/>
    <m/>
    <n v="0"/>
    <n v="1"/>
    <n v="5.2707160000000002"/>
    <n v="0"/>
    <n v="1"/>
    <n v="0"/>
    <n v="1"/>
    <m/>
    <m/>
    <m/>
    <m/>
    <n v="0"/>
    <n v="1"/>
    <n v="12.103549999999998"/>
    <n v="0.54249999999999998"/>
    <n v="0"/>
    <m/>
    <m/>
    <m/>
    <m/>
    <m/>
    <m/>
    <n v="0"/>
    <n v="1"/>
    <n v="6.1367749999999992"/>
    <n v="0"/>
    <n v="0"/>
    <m/>
    <m/>
    <m/>
    <m/>
    <m/>
    <m/>
    <n v="0"/>
    <n v="1"/>
    <n v="9.4380040000000012"/>
    <n v="0"/>
    <m/>
    <m/>
    <m/>
    <m/>
    <n v="0"/>
    <n v="1"/>
    <n v="12.297969999999999"/>
    <n v="0"/>
    <n v="0"/>
    <m/>
    <m/>
    <m/>
    <m/>
    <m/>
    <m/>
    <n v="0"/>
    <n v="1"/>
    <n v="11.358559999999999"/>
    <n v="0.03"/>
    <n v="0"/>
    <m/>
    <m/>
    <x v="2"/>
    <n v="0"/>
    <n v="1"/>
    <n v="0.2"/>
    <n v="0"/>
    <n v="0"/>
    <n v="0.41666666666666669"/>
    <n v="0.49090909090909091"/>
    <n v="0"/>
    <n v="234"/>
    <n v="540"/>
    <n v="0"/>
    <m/>
    <m/>
    <m/>
    <m/>
    <m/>
    <m/>
    <x v="1"/>
    <n v="0"/>
    <m/>
    <n v="5"/>
    <n v="2"/>
    <n v="3"/>
    <n v="1"/>
    <n v="5"/>
    <n v="4"/>
    <n v="5"/>
    <n v="3"/>
    <n v="1"/>
    <n v="4"/>
    <n v="2"/>
    <n v="4"/>
    <n v="1"/>
    <n v="3"/>
    <n v="5"/>
    <n v="3"/>
    <n v="2"/>
    <n v="3"/>
    <n v="4"/>
    <n v="5"/>
    <n v="3"/>
    <n v="5"/>
    <n v="4"/>
    <n v="3"/>
    <n v="3"/>
    <n v="1"/>
    <n v="2"/>
    <n v="3"/>
    <n v="2"/>
    <n v="1"/>
    <n v="3"/>
    <n v="1"/>
    <n v="3"/>
    <n v="1"/>
    <n v="3"/>
    <n v="3"/>
    <n v="3"/>
    <n v="4"/>
    <n v="3"/>
    <n v="1"/>
    <n v="1"/>
    <n v="4"/>
    <n v="1"/>
    <n v="4"/>
    <n v="5"/>
    <n v="5"/>
    <n v="3"/>
    <n v="2"/>
    <n v="3"/>
    <n v="4"/>
    <n v="3"/>
    <n v="3"/>
    <n v="5"/>
    <n v="4"/>
    <n v="4"/>
    <n v="2"/>
    <n v="3"/>
    <n v="1"/>
    <n v="3"/>
    <n v="1"/>
    <n v="2"/>
    <n v="4"/>
    <n v="3"/>
    <n v="2"/>
    <n v="5"/>
    <n v="4"/>
    <n v="4"/>
    <n v="3"/>
    <n v="4"/>
    <n v="2"/>
    <n v="2"/>
    <n v="2"/>
    <n v="4"/>
    <n v="2"/>
    <n v="3"/>
    <n v="3"/>
    <n v="2"/>
    <n v="3"/>
    <n v="3"/>
    <n v="2"/>
    <n v="1"/>
    <n v="2"/>
    <n v="2"/>
    <n v="5"/>
    <n v="3"/>
    <n v="1"/>
    <n v="1"/>
    <n v="3"/>
    <n v="3"/>
    <n v="3"/>
    <n v="2"/>
    <n v="3"/>
    <n v="4"/>
    <n v="4"/>
    <n v="5"/>
    <n v="4"/>
    <n v="3"/>
    <n v="3"/>
    <n v="4"/>
    <n v="1"/>
    <n v="1"/>
    <n v="4"/>
    <n v="3"/>
    <n v="4"/>
    <n v="2"/>
    <n v="1"/>
    <n v="3"/>
    <n v="3"/>
    <n v="4"/>
    <n v="3"/>
    <n v="1"/>
    <n v="4"/>
    <n v="1"/>
    <n v="4"/>
    <n v="2"/>
    <n v="2"/>
    <n v="4"/>
    <n v="3"/>
    <n v="4"/>
    <n v="2"/>
    <n v="1"/>
    <n v="4.25"/>
    <n v="4.5"/>
    <n v="4.5"/>
    <x v="6"/>
    <n v="4"/>
    <x v="7"/>
    <n v="3.25"/>
    <x v="4"/>
    <n v="1.75"/>
    <n v="3.25"/>
    <n v="3"/>
    <n v="1.5"/>
    <x v="12"/>
    <n v="3.25"/>
    <n v="3.75"/>
    <n v="2.75"/>
    <x v="2"/>
    <x v="0"/>
    <n v="3.25"/>
    <n v="3"/>
    <n v="2"/>
    <x v="10"/>
    <n v="2"/>
    <n v="2.25"/>
    <n v="1.25"/>
    <n v="4.25"/>
    <n v="3.5"/>
    <n v="3"/>
    <x v="5"/>
    <n v="3"/>
  </r>
  <r>
    <n v="91"/>
    <d v="2023-07-07T10:13:07"/>
    <d v="2023-07-07T10:15:15"/>
    <s v="Consinto em participar no questionário e que os dados recolhidos sejam utilizados para os fins acima referidos."/>
    <s v="26"/>
    <s v="Feminino"/>
    <s v="Solteiro(a)"/>
    <s v="Não"/>
    <s v="Licenciatura (3-5 anos)"/>
    <s v="Ciências exatas"/>
    <s v="Trabalhador(a) por conta de outrem"/>
    <s v="Técnico administrativo"/>
    <s v="Outra frequência"/>
    <s v="Dispositivos móveis (telemóvel, tablet);"/>
    <s v="Puzzles;Estratégia;"/>
    <m/>
    <m/>
    <m/>
    <m/>
    <m/>
    <m/>
    <m/>
    <m/>
    <m/>
    <m/>
    <m/>
    <m/>
    <m/>
    <m/>
    <m/>
    <m/>
    <n v="0"/>
    <n v="1"/>
    <n v="9.3546259999999997"/>
    <n v="0"/>
    <n v="0"/>
    <m/>
    <m/>
    <n v="2"/>
    <n v="0"/>
    <m/>
    <n v="2.2000000000000002"/>
    <n v="0"/>
    <n v="0.33333333333333331"/>
    <n v="19.280060000000002"/>
    <n v="0.16250000000000001"/>
    <n v="0"/>
    <m/>
    <m/>
    <m/>
    <m/>
    <m/>
    <m/>
    <n v="0"/>
    <n v="1"/>
    <n v="11.440379999999999"/>
    <n v="0"/>
    <n v="0"/>
    <m/>
    <m/>
    <m/>
    <m/>
    <m/>
    <m/>
    <n v="0"/>
    <n v="1"/>
    <n v="19.15033"/>
    <n v="9.5000000000000001E-2"/>
    <m/>
    <m/>
    <m/>
    <m/>
    <n v="0"/>
    <n v="1"/>
    <n v="21.980720000000002"/>
    <n v="0"/>
    <n v="0"/>
    <m/>
    <m/>
    <m/>
    <m/>
    <m/>
    <m/>
    <n v="0"/>
    <n v="1"/>
    <n v="28.609720000000003"/>
    <n v="0.185"/>
    <n v="0"/>
    <m/>
    <m/>
    <x v="2"/>
    <n v="0"/>
    <n v="0"/>
    <n v="0"/>
    <n v="0"/>
    <n v="0"/>
    <n v="0.5"/>
    <n v="0.77272727272727271"/>
    <n v="2"/>
    <n v="232"/>
    <n v="1050"/>
    <n v="2"/>
    <m/>
    <m/>
    <m/>
    <m/>
    <m/>
    <m/>
    <x v="1"/>
    <n v="0"/>
    <m/>
    <n v="5"/>
    <n v="5"/>
    <n v="5"/>
    <n v="3"/>
    <n v="5"/>
    <n v="3"/>
    <n v="3"/>
    <n v="5"/>
    <n v="2"/>
    <n v="5"/>
    <n v="5"/>
    <n v="5"/>
    <n v="5"/>
    <n v="5"/>
    <n v="5"/>
    <n v="4"/>
    <n v="5"/>
    <n v="2"/>
    <n v="1"/>
    <n v="5"/>
    <n v="4"/>
    <n v="5"/>
    <n v="4"/>
    <n v="1"/>
    <n v="1"/>
    <n v="3"/>
    <n v="3"/>
    <n v="4"/>
    <n v="5"/>
    <n v="1"/>
    <n v="5"/>
    <n v="3"/>
    <n v="1"/>
    <n v="2"/>
    <n v="2"/>
    <n v="2"/>
    <n v="1"/>
    <n v="5"/>
    <n v="1"/>
    <n v="1"/>
    <n v="2"/>
    <n v="4"/>
    <n v="5"/>
    <n v="5"/>
    <n v="5"/>
    <n v="5"/>
    <n v="5"/>
    <n v="4"/>
    <n v="2"/>
    <n v="4"/>
    <n v="3"/>
    <n v="4"/>
    <n v="5"/>
    <n v="2"/>
    <n v="4"/>
    <n v="4"/>
    <n v="3"/>
    <n v="5"/>
    <n v="5"/>
    <n v="1"/>
    <n v="5"/>
    <n v="3"/>
    <n v="5"/>
    <n v="2"/>
    <n v="4"/>
    <n v="2"/>
    <n v="4"/>
    <n v="1"/>
    <n v="4"/>
    <n v="1"/>
    <n v="1"/>
    <n v="5"/>
    <n v="4"/>
    <n v="2"/>
    <n v="1"/>
    <n v="1"/>
    <n v="5"/>
    <n v="2"/>
    <n v="4"/>
    <n v="1"/>
    <n v="1"/>
    <n v="2"/>
    <n v="2"/>
    <n v="4"/>
    <n v="1"/>
    <n v="3"/>
    <n v="4"/>
    <n v="3"/>
    <n v="1"/>
    <n v="1"/>
    <n v="1"/>
    <n v="5"/>
    <n v="4"/>
    <n v="1"/>
    <n v="4"/>
    <n v="4"/>
    <n v="4"/>
    <n v="5"/>
    <n v="4"/>
    <n v="1"/>
    <n v="1"/>
    <n v="2"/>
    <n v="1"/>
    <n v="1"/>
    <n v="1"/>
    <n v="1"/>
    <n v="1"/>
    <n v="5"/>
    <n v="3"/>
    <n v="1"/>
    <n v="1"/>
    <n v="4"/>
    <n v="1"/>
    <n v="4"/>
    <n v="1"/>
    <n v="2"/>
    <n v="2"/>
    <n v="4"/>
    <n v="2"/>
    <n v="5"/>
    <n v="1"/>
    <n v="3.75"/>
    <n v="5"/>
    <n v="5"/>
    <x v="6"/>
    <n v="3"/>
    <x v="9"/>
    <n v="5"/>
    <x v="5"/>
    <n v="4"/>
    <n v="4.75"/>
    <n v="3.25"/>
    <n v="3.75"/>
    <x v="9"/>
    <n v="1.75"/>
    <n v="4.5"/>
    <n v="3.25"/>
    <x v="7"/>
    <x v="10"/>
    <n v="3"/>
    <n v="4.25"/>
    <n v="4.75"/>
    <x v="3"/>
    <n v="2.25"/>
    <n v="4.5"/>
    <n v="2.25"/>
    <n v="4.75"/>
    <n v="5"/>
    <n v="4.75"/>
    <x v="12"/>
    <n v="4"/>
  </r>
  <r>
    <n v="92"/>
    <d v="2023-07-07T10:13:19"/>
    <d v="2023-07-07T10:15:15"/>
    <s v="Consinto em participar no questionário e que os dados recolhidos sejam utilizados para os fins acima referidos."/>
    <s v="23"/>
    <s v="Feminino"/>
    <s v="Solteiro(a)"/>
    <s v="Não"/>
    <s v="Licenciatura (3-5 anos)"/>
    <s v="Outra"/>
    <s v="Trabalhador(a) por conta de outrem"/>
    <s v="Serviços Financeiros e Faturação "/>
    <s v="Já joguei, mas de momento não jogo"/>
    <s v="Não costumo jogar;"/>
    <s v="Puzzles;"/>
    <m/>
    <m/>
    <m/>
    <m/>
    <m/>
    <m/>
    <m/>
    <m/>
    <m/>
    <m/>
    <m/>
    <m/>
    <m/>
    <m/>
    <m/>
    <m/>
    <n v="0"/>
    <n v="1"/>
    <n v="3.8943270000000001"/>
    <n v="0"/>
    <n v="0"/>
    <m/>
    <m/>
    <m/>
    <m/>
    <m/>
    <m/>
    <n v="0"/>
    <n v="1"/>
    <n v="7.558109"/>
    <n v="0"/>
    <n v="0"/>
    <m/>
    <m/>
    <m/>
    <m/>
    <m/>
    <m/>
    <n v="0"/>
    <n v="1"/>
    <n v="5.3584990000000001"/>
    <n v="0"/>
    <n v="0"/>
    <m/>
    <m/>
    <m/>
    <m/>
    <m/>
    <m/>
    <n v="0"/>
    <n v="1"/>
    <n v="9.8810599999999997"/>
    <n v="0"/>
    <m/>
    <m/>
    <m/>
    <m/>
    <n v="0"/>
    <n v="0.5"/>
    <n v="9.7545950000000001"/>
    <n v="0"/>
    <n v="0"/>
    <m/>
    <m/>
    <n v="1"/>
    <n v="0.6"/>
    <m/>
    <n v="1.05"/>
    <n v="0"/>
    <n v="0"/>
    <n v="11.86248"/>
    <n v="7.4999999999999997E-3"/>
    <n v="0"/>
    <m/>
    <m/>
    <x v="2"/>
    <n v="0"/>
    <n v="0"/>
    <n v="0"/>
    <n v="0"/>
    <n v="0"/>
    <n v="1"/>
    <n v="1"/>
    <n v="3"/>
    <n v="451"/>
    <n v="1120"/>
    <n v="2"/>
    <m/>
    <m/>
    <m/>
    <m/>
    <m/>
    <m/>
    <x v="1"/>
    <n v="0"/>
    <m/>
    <n v="5"/>
    <n v="2"/>
    <n v="5"/>
    <n v="5"/>
    <n v="4"/>
    <n v="4"/>
    <n v="1"/>
    <n v="4"/>
    <n v="1"/>
    <n v="1"/>
    <n v="5"/>
    <n v="5"/>
    <n v="5"/>
    <n v="5"/>
    <n v="5"/>
    <n v="4"/>
    <n v="4"/>
    <n v="1"/>
    <n v="4"/>
    <n v="5"/>
    <n v="5"/>
    <n v="5"/>
    <n v="3"/>
    <n v="1"/>
    <n v="5"/>
    <n v="4"/>
    <n v="5"/>
    <n v="3"/>
    <n v="4"/>
    <n v="5"/>
    <n v="5"/>
    <n v="1"/>
    <n v="1"/>
    <n v="5"/>
    <n v="5"/>
    <n v="5"/>
    <n v="1"/>
    <n v="5"/>
    <n v="2"/>
    <n v="5"/>
    <n v="4"/>
    <n v="2"/>
    <n v="5"/>
    <n v="5"/>
    <n v="5"/>
    <n v="5"/>
    <n v="5"/>
    <n v="5"/>
    <n v="2"/>
    <n v="5"/>
    <n v="1"/>
    <n v="1"/>
    <n v="5"/>
    <n v="3"/>
    <n v="5"/>
    <n v="5"/>
    <n v="5"/>
    <n v="3"/>
    <n v="5"/>
    <n v="5"/>
    <n v="3"/>
    <n v="5"/>
    <n v="5"/>
    <n v="5"/>
    <n v="3"/>
    <n v="4"/>
    <n v="5"/>
    <n v="1"/>
    <n v="4"/>
    <n v="5"/>
    <n v="4"/>
    <n v="5"/>
    <n v="5"/>
    <n v="5"/>
    <n v="1"/>
    <n v="3"/>
    <n v="5"/>
    <n v="1"/>
    <n v="5"/>
    <n v="1"/>
    <n v="1"/>
    <n v="1"/>
    <n v="1"/>
    <n v="3"/>
    <n v="1"/>
    <n v="1"/>
    <n v="4"/>
    <n v="1"/>
    <n v="3"/>
    <n v="1"/>
    <n v="3"/>
    <n v="5"/>
    <n v="5"/>
    <n v="4"/>
    <n v="2"/>
    <n v="4"/>
    <n v="1"/>
    <n v="5"/>
    <n v="3"/>
    <n v="1"/>
    <n v="2"/>
    <n v="1"/>
    <n v="4"/>
    <n v="1"/>
    <n v="1"/>
    <n v="1"/>
    <n v="1"/>
    <n v="1"/>
    <n v="3"/>
    <n v="1"/>
    <n v="1"/>
    <n v="1"/>
    <n v="4"/>
    <n v="1"/>
    <n v="1"/>
    <n v="1"/>
    <n v="1"/>
    <n v="1"/>
    <n v="4"/>
    <n v="1"/>
    <n v="4"/>
    <n v="4"/>
    <n v="2"/>
    <n v="4.5"/>
    <x v="9"/>
    <n v="5"/>
    <x v="13"/>
    <n v="4.5"/>
    <x v="15"/>
    <n v="4.75"/>
    <n v="4.75"/>
    <n v="5"/>
    <n v="4.5"/>
    <x v="13"/>
    <n v="1"/>
    <n v="3.5"/>
    <n v="3.75"/>
    <x v="2"/>
    <x v="11"/>
    <n v="3.75"/>
    <n v="4.25"/>
    <n v="4"/>
    <x v="0"/>
    <n v="3"/>
    <n v="2.75"/>
    <n v="4.75"/>
    <n v="3.75"/>
    <n v="5"/>
    <n v="4"/>
    <x v="0"/>
    <n v="4.75"/>
  </r>
  <r>
    <n v="93"/>
    <d v="2023-07-07T10:13:39"/>
    <d v="2023-07-07T10:15:47"/>
    <s v="Consinto em participar no questionário e que os dados recolhidos sejam utilizados para os fins acima referidos."/>
    <s v="34"/>
    <s v="Feminino"/>
    <s v="Solteiro(a)"/>
    <s v="Não"/>
    <s v="Mestrado"/>
    <s v="Outra"/>
    <s v="Trabalhador(a) por conta de outrem"/>
    <s v="Administrativa"/>
    <s v="Nunca"/>
    <s v="Não costumo jogar;"/>
    <s v="Nenhum;"/>
    <m/>
    <m/>
    <m/>
    <m/>
    <m/>
    <m/>
    <m/>
    <m/>
    <m/>
    <m/>
    <m/>
    <m/>
    <m/>
    <m/>
    <m/>
    <m/>
    <n v="0"/>
    <n v="1"/>
    <n v="20.917270000000002"/>
    <n v="0"/>
    <n v="0"/>
    <m/>
    <m/>
    <m/>
    <m/>
    <m/>
    <m/>
    <n v="0"/>
    <n v="1"/>
    <n v="29.1983"/>
    <n v="0"/>
    <n v="0"/>
    <m/>
    <m/>
    <m/>
    <m/>
    <m/>
    <m/>
    <n v="0"/>
    <n v="1"/>
    <n v="14.35369"/>
    <n v="0"/>
    <n v="0"/>
    <m/>
    <m/>
    <m/>
    <m/>
    <m/>
    <m/>
    <n v="0"/>
    <n v="1"/>
    <n v="20.499580000000002"/>
    <n v="0"/>
    <m/>
    <m/>
    <m/>
    <m/>
    <n v="0"/>
    <n v="1"/>
    <n v="53.525700000000001"/>
    <n v="0"/>
    <n v="0"/>
    <m/>
    <m/>
    <m/>
    <m/>
    <m/>
    <m/>
    <n v="0"/>
    <n v="1"/>
    <n v="27.436640000000001"/>
    <n v="0.97250000000000003"/>
    <n v="0"/>
    <m/>
    <m/>
    <x v="0"/>
    <n v="0"/>
    <n v="0"/>
    <n v="0"/>
    <n v="0"/>
    <n v="0"/>
    <n v="0.39583333333333331"/>
    <n v="0.42727272727272725"/>
    <n v="0"/>
    <n v="199"/>
    <n v="470"/>
    <n v="0"/>
    <m/>
    <m/>
    <m/>
    <m/>
    <m/>
    <m/>
    <x v="1"/>
    <n v="0"/>
    <m/>
    <n v="4"/>
    <n v="2"/>
    <n v="3"/>
    <n v="2"/>
    <n v="4"/>
    <n v="2"/>
    <n v="4"/>
    <n v="5"/>
    <n v="2"/>
    <n v="4"/>
    <n v="2"/>
    <n v="4"/>
    <n v="3"/>
    <n v="4"/>
    <n v="5"/>
    <n v="3"/>
    <n v="3"/>
    <n v="3"/>
    <n v="1"/>
    <n v="4"/>
    <n v="2"/>
    <n v="5"/>
    <n v="3"/>
    <n v="2"/>
    <n v="3"/>
    <n v="2"/>
    <n v="3"/>
    <n v="3"/>
    <n v="3"/>
    <n v="2"/>
    <n v="3"/>
    <n v="4"/>
    <n v="3"/>
    <n v="3"/>
    <n v="4"/>
    <n v="2"/>
    <n v="3"/>
    <n v="4"/>
    <n v="2"/>
    <n v="2"/>
    <n v="1"/>
    <n v="3"/>
    <n v="3"/>
    <n v="3"/>
    <n v="4"/>
    <n v="3"/>
    <n v="3"/>
    <n v="2"/>
    <n v="1"/>
    <n v="3"/>
    <n v="4"/>
    <n v="4"/>
    <n v="3"/>
    <n v="3"/>
    <n v="5"/>
    <n v="2"/>
    <n v="4"/>
    <n v="4"/>
    <n v="4"/>
    <n v="2"/>
    <n v="3"/>
    <n v="2"/>
    <n v="4"/>
    <n v="3"/>
    <n v="4"/>
    <n v="2"/>
    <n v="3"/>
    <n v="2"/>
    <n v="4"/>
    <n v="2"/>
    <n v="2"/>
    <n v="2"/>
    <n v="4"/>
    <n v="2"/>
    <n v="2"/>
    <n v="3"/>
    <n v="2"/>
    <n v="4"/>
    <n v="2"/>
    <n v="2"/>
    <n v="2"/>
    <n v="4"/>
    <n v="3"/>
    <n v="3"/>
    <n v="4"/>
    <n v="2"/>
    <n v="1"/>
    <n v="4"/>
    <n v="1"/>
    <n v="3"/>
    <n v="2"/>
    <n v="2"/>
    <n v="3"/>
    <n v="3"/>
    <n v="3"/>
    <n v="4"/>
    <n v="4"/>
    <n v="3"/>
    <n v="2"/>
    <n v="2"/>
    <n v="2"/>
    <n v="5"/>
    <n v="2"/>
    <n v="2"/>
    <n v="2"/>
    <n v="1"/>
    <n v="2"/>
    <n v="4"/>
    <n v="1"/>
    <n v="2"/>
    <n v="1"/>
    <n v="4"/>
    <n v="1"/>
    <n v="3"/>
    <n v="2"/>
    <n v="1"/>
    <n v="3"/>
    <n v="4"/>
    <n v="5"/>
    <n v="3"/>
    <n v="1"/>
    <n v="4"/>
    <n v="4"/>
    <n v="4.25"/>
    <x v="1"/>
    <n v="4.25"/>
    <x v="10"/>
    <n v="3"/>
    <x v="0"/>
    <n v="1.5"/>
    <n v="3"/>
    <n v="2"/>
    <n v="2"/>
    <x v="9"/>
    <n v="3.25"/>
    <n v="3.75"/>
    <n v="3"/>
    <x v="6"/>
    <x v="7"/>
    <n v="3.25"/>
    <n v="4.25"/>
    <n v="3.5"/>
    <x v="1"/>
    <n v="3"/>
    <n v="3.25"/>
    <n v="2.75"/>
    <n v="4"/>
    <n v="3.75"/>
    <n v="4.5"/>
    <x v="6"/>
    <n v="3.25"/>
  </r>
  <r>
    <n v="94"/>
    <d v="2023-07-07T10:13:16"/>
    <d v="2023-07-07T10:16:34"/>
    <s v="Consinto em participar no questionário e que os dados recolhidos sejam utilizados para os fins acima referidos."/>
    <s v="29"/>
    <s v="Feminino"/>
    <s v="Solteiro(a)"/>
    <s v="Não"/>
    <s v="Mestrado"/>
    <s v="Ciências naturais"/>
    <s v="Trabalhador(a) por conta de outrem"/>
    <s v="Gestão de parcerias "/>
    <s v="Nunca"/>
    <s v="Não costumo jogar;"/>
    <s v="Puzzles;Acção;"/>
    <m/>
    <m/>
    <m/>
    <m/>
    <m/>
    <m/>
    <m/>
    <m/>
    <m/>
    <m/>
    <m/>
    <m/>
    <n v="12"/>
    <n v="0.6"/>
    <m/>
    <n v="12.65"/>
    <n v="0"/>
    <n v="1"/>
    <n v="12.72823"/>
    <n v="0"/>
    <n v="0"/>
    <m/>
    <m/>
    <n v="15"/>
    <n v="0.375"/>
    <m/>
    <n v="16.200000000000003"/>
    <n v="0"/>
    <n v="0.66666666666666663"/>
    <n v="24.69726"/>
    <n v="0.25"/>
    <n v="0"/>
    <m/>
    <m/>
    <n v="1"/>
    <n v="0"/>
    <m/>
    <n v="0.8"/>
    <n v="0"/>
    <n v="1"/>
    <n v="10.187989999999999"/>
    <n v="0"/>
    <n v="0"/>
    <m/>
    <m/>
    <n v="1"/>
    <n v="0"/>
    <m/>
    <n v="1.05"/>
    <n v="0"/>
    <n v="1"/>
    <n v="17.295020000000001"/>
    <n v="0.06"/>
    <m/>
    <m/>
    <m/>
    <m/>
    <n v="0"/>
    <n v="1"/>
    <n v="170.64689999999999"/>
    <n v="0"/>
    <n v="3"/>
    <n v="3"/>
    <n v="0.83333333333333337"/>
    <m/>
    <m/>
    <m/>
    <m/>
    <n v="0"/>
    <n v="0.5"/>
    <n v="17.02825"/>
    <n v="0.34499999999999997"/>
    <n v="0"/>
    <m/>
    <m/>
    <x v="4"/>
    <n v="2"/>
    <n v="1"/>
    <n v="0.2"/>
    <n v="0"/>
    <n v="0"/>
    <n v="8.3333333333333329E-2"/>
    <n v="0.33636363636363636"/>
    <n v="0"/>
    <n v="200"/>
    <n v="370"/>
    <n v="0"/>
    <m/>
    <m/>
    <m/>
    <m/>
    <m/>
    <m/>
    <x v="1"/>
    <n v="0"/>
    <m/>
    <n v="5"/>
    <n v="5"/>
    <n v="3"/>
    <n v="3"/>
    <n v="4"/>
    <n v="2"/>
    <n v="5"/>
    <n v="4"/>
    <n v="2"/>
    <n v="5"/>
    <n v="2"/>
    <n v="4"/>
    <n v="4"/>
    <n v="5"/>
    <n v="4"/>
    <n v="2"/>
    <n v="4"/>
    <n v="2"/>
    <n v="2"/>
    <n v="4"/>
    <n v="2"/>
    <n v="4"/>
    <n v="3"/>
    <n v="2"/>
    <n v="3"/>
    <n v="2"/>
    <n v="4"/>
    <n v="2"/>
    <n v="5"/>
    <n v="2"/>
    <n v="3"/>
    <n v="4"/>
    <n v="3"/>
    <n v="4"/>
    <n v="3"/>
    <n v="2"/>
    <n v="4"/>
    <n v="4"/>
    <n v="2"/>
    <n v="2"/>
    <n v="2"/>
    <n v="3"/>
    <n v="4"/>
    <n v="5"/>
    <n v="5"/>
    <n v="4"/>
    <n v="3"/>
    <n v="4"/>
    <n v="1"/>
    <n v="4"/>
    <n v="4"/>
    <n v="3"/>
    <n v="4"/>
    <n v="3"/>
    <n v="4"/>
    <n v="2"/>
    <n v="5"/>
    <n v="4"/>
    <n v="5"/>
    <n v="2"/>
    <n v="4"/>
    <n v="2"/>
    <n v="4"/>
    <n v="4"/>
    <n v="4"/>
    <n v="2"/>
    <n v="2"/>
    <n v="2"/>
    <n v="4"/>
    <n v="1"/>
    <n v="1"/>
    <n v="2"/>
    <n v="4"/>
    <n v="2"/>
    <n v="1"/>
    <n v="2"/>
    <n v="3"/>
    <n v="4"/>
    <n v="4"/>
    <n v="1"/>
    <n v="1"/>
    <n v="2"/>
    <n v="2"/>
    <n v="2"/>
    <n v="3"/>
    <n v="3"/>
    <n v="2"/>
    <n v="5"/>
    <n v="3"/>
    <n v="1"/>
    <n v="1"/>
    <n v="4"/>
    <n v="1"/>
    <n v="3"/>
    <n v="3"/>
    <n v="3"/>
    <n v="4"/>
    <n v="2"/>
    <n v="2"/>
    <n v="2"/>
    <n v="2"/>
    <n v="4"/>
    <n v="3"/>
    <n v="1"/>
    <n v="1"/>
    <n v="2"/>
    <n v="1"/>
    <n v="4"/>
    <n v="4"/>
    <n v="1"/>
    <n v="1"/>
    <n v="4"/>
    <n v="1"/>
    <n v="4"/>
    <n v="3"/>
    <n v="2"/>
    <n v="5"/>
    <n v="5"/>
    <n v="4"/>
    <n v="1"/>
    <n v="1"/>
    <n v="3.5"/>
    <n v="4.5"/>
    <n v="4.25"/>
    <x v="2"/>
    <n v="3.5"/>
    <x v="3"/>
    <n v="4"/>
    <x v="0"/>
    <n v="2"/>
    <n v="3.5"/>
    <n v="2.5"/>
    <n v="1.75"/>
    <x v="5"/>
    <n v="4.25"/>
    <n v="3.5"/>
    <n v="3.25"/>
    <x v="4"/>
    <x v="6"/>
    <n v="3.25"/>
    <n v="4"/>
    <n v="4.25"/>
    <x v="14"/>
    <n v="2.75"/>
    <n v="2.75"/>
    <n v="3.5"/>
    <n v="4.25"/>
    <n v="5"/>
    <n v="4.75"/>
    <x v="6"/>
    <n v="5"/>
  </r>
  <r>
    <n v="95"/>
    <d v="2023-07-07T10:57:44"/>
    <d v="2023-07-07T10:59:02"/>
    <s v="Consinto em participar no questionário e que os dados recolhidos sejam utilizados para os fins acima referidos."/>
    <s v="30"/>
    <s v="Feminino"/>
    <s v="Solteiro(a)"/>
    <s v="Não"/>
    <s v="Ensino secundário"/>
    <s v="Humanidades"/>
    <s v="Trabalhador(a) por conta de outrem"/>
    <s v="Gestora"/>
    <s v="Nunca"/>
    <s v="Dispositivos móveis (telemóvel, tablet);"/>
    <s v="Aventura;Fantasia;Puzzles;Simulação;"/>
    <m/>
    <m/>
    <m/>
    <m/>
    <m/>
    <m/>
    <m/>
    <m/>
    <m/>
    <m/>
    <m/>
    <m/>
    <m/>
    <m/>
    <m/>
    <m/>
    <n v="0"/>
    <n v="1"/>
    <n v="6.7480060000000002"/>
    <n v="0"/>
    <n v="0"/>
    <m/>
    <m/>
    <n v="5"/>
    <n v="0.5"/>
    <m/>
    <n v="5.4"/>
    <n v="0"/>
    <n v="1"/>
    <n v="15.3802"/>
    <n v="0.17"/>
    <n v="0"/>
    <m/>
    <m/>
    <n v="1"/>
    <n v="0"/>
    <m/>
    <n v="0.9"/>
    <n v="0"/>
    <n v="1"/>
    <n v="9.4087270000000007"/>
    <n v="0"/>
    <n v="0"/>
    <m/>
    <m/>
    <m/>
    <m/>
    <m/>
    <m/>
    <n v="0"/>
    <n v="1"/>
    <n v="14.51816"/>
    <n v="9.7500000000000003E-2"/>
    <m/>
    <m/>
    <m/>
    <m/>
    <n v="0"/>
    <n v="1"/>
    <n v="72.690919999999991"/>
    <n v="0"/>
    <n v="0"/>
    <m/>
    <m/>
    <m/>
    <m/>
    <m/>
    <m/>
    <n v="0"/>
    <n v="1"/>
    <n v="15.44943"/>
    <n v="0.14000000000000001"/>
    <n v="0"/>
    <m/>
    <m/>
    <x v="1"/>
    <n v="2"/>
    <n v="0"/>
    <n v="0"/>
    <n v="0"/>
    <n v="0"/>
    <n v="0"/>
    <n v="0.30909090909090908"/>
    <n v="0"/>
    <n v="149"/>
    <n v="340"/>
    <n v="0"/>
    <m/>
    <m/>
    <m/>
    <m/>
    <m/>
    <m/>
    <x v="1"/>
    <n v="0"/>
    <m/>
    <n v="4"/>
    <n v="5"/>
    <n v="5"/>
    <n v="3"/>
    <n v="5"/>
    <n v="4"/>
    <n v="3"/>
    <n v="5"/>
    <n v="2"/>
    <n v="3"/>
    <n v="2"/>
    <n v="4"/>
    <n v="5"/>
    <n v="3"/>
    <n v="4"/>
    <n v="3"/>
    <n v="2"/>
    <n v="3"/>
    <n v="3"/>
    <n v="4"/>
    <n v="2"/>
    <n v="4"/>
    <n v="3"/>
    <n v="2"/>
    <n v="3"/>
    <n v="2"/>
    <n v="3"/>
    <n v="3"/>
    <n v="4"/>
    <n v="3"/>
    <n v="4"/>
    <n v="4"/>
    <n v="2"/>
    <n v="3"/>
    <n v="3"/>
    <n v="4"/>
    <n v="2"/>
    <n v="3"/>
    <n v="2"/>
    <n v="1"/>
    <n v="1"/>
    <n v="2"/>
    <n v="3"/>
    <n v="3"/>
    <n v="4"/>
    <n v="3"/>
    <n v="4"/>
    <n v="3"/>
    <n v="2"/>
    <n v="3"/>
    <n v="3"/>
    <n v="3"/>
    <n v="3"/>
    <n v="2"/>
    <n v="3"/>
    <n v="2"/>
    <n v="4"/>
    <n v="4"/>
    <n v="4"/>
    <n v="5"/>
    <n v="4"/>
    <n v="2"/>
    <n v="2"/>
    <n v="3"/>
    <n v="4"/>
    <n v="4"/>
    <n v="3"/>
    <n v="3"/>
    <n v="3"/>
    <n v="2"/>
    <n v="2"/>
    <n v="2"/>
    <n v="3"/>
    <n v="2"/>
    <n v="2"/>
    <n v="2"/>
    <n v="2"/>
    <n v="4"/>
    <n v="3"/>
    <n v="2"/>
    <n v="2"/>
    <n v="3"/>
    <n v="3"/>
    <n v="2"/>
    <n v="2"/>
    <n v="2"/>
    <n v="2"/>
    <n v="5"/>
    <n v="3"/>
    <n v="2"/>
    <n v="2"/>
    <n v="4"/>
    <n v="3"/>
    <n v="2"/>
    <n v="3"/>
    <n v="4"/>
    <n v="2"/>
    <n v="2"/>
    <n v="2"/>
    <n v="1"/>
    <n v="1"/>
    <n v="4"/>
    <n v="3"/>
    <n v="1"/>
    <n v="1"/>
    <n v="1"/>
    <n v="1"/>
    <n v="3"/>
    <n v="2"/>
    <n v="2"/>
    <n v="1"/>
    <n v="3"/>
    <n v="3"/>
    <n v="3"/>
    <n v="2"/>
    <n v="1"/>
    <n v="3"/>
    <n v="4"/>
    <n v="4"/>
    <n v="2"/>
    <n v="3"/>
    <n v="4"/>
    <n v="4.25"/>
    <n v="4.25"/>
    <x v="1"/>
    <n v="3.75"/>
    <x v="6"/>
    <n v="4"/>
    <x v="9"/>
    <n v="1.75"/>
    <n v="3.25"/>
    <n v="2.75"/>
    <n v="2.25"/>
    <x v="1"/>
    <n v="3"/>
    <n v="3"/>
    <n v="3.25"/>
    <x v="6"/>
    <x v="2"/>
    <n v="2.75"/>
    <n v="3.75"/>
    <n v="4.25"/>
    <x v="5"/>
    <n v="3.25"/>
    <n v="3"/>
    <n v="3"/>
    <n v="4.25"/>
    <n v="3.75"/>
    <n v="3.75"/>
    <x v="3"/>
    <n v="4"/>
  </r>
  <r>
    <n v="96"/>
    <d v="2023-07-07T10:57:30"/>
    <d v="2023-07-07T11:00:41"/>
    <s v="Consinto em participar no questionário e que os dados recolhidos sejam utilizados para os fins acima referidos."/>
    <s v="32"/>
    <s v="Masculino"/>
    <s v="Solteiro(a)"/>
    <s v="Não"/>
    <s v="Licenciatura (3-5 anos)"/>
    <s v="Outra"/>
    <s v="Trabalhador(a) por conta de outrem"/>
    <s v="Product Owner / Project Manager"/>
    <s v="Já joguei, mas de momento não jogo"/>
    <s v="Computador (portátil, desktop...);Dispositivos móveis (telemóvel, tablet);"/>
    <s v="Estratégia;Multiplayer;RPG/MMORPG;Desporto;"/>
    <m/>
    <m/>
    <m/>
    <m/>
    <m/>
    <m/>
    <m/>
    <m/>
    <m/>
    <m/>
    <m/>
    <m/>
    <m/>
    <m/>
    <m/>
    <m/>
    <n v="0"/>
    <n v="1"/>
    <n v="13.775600000000001"/>
    <n v="0"/>
    <n v="0"/>
    <m/>
    <m/>
    <n v="3"/>
    <n v="0.625"/>
    <m/>
    <n v="3.3000000000000003"/>
    <n v="0"/>
    <n v="1"/>
    <n v="15.273149999999999"/>
    <n v="0"/>
    <n v="0"/>
    <m/>
    <m/>
    <m/>
    <m/>
    <m/>
    <m/>
    <n v="0"/>
    <n v="1"/>
    <n v="5.4831390000000004"/>
    <n v="0"/>
    <n v="0"/>
    <m/>
    <m/>
    <m/>
    <m/>
    <m/>
    <m/>
    <n v="0"/>
    <n v="1"/>
    <n v="9.7809889999999999"/>
    <n v="0"/>
    <m/>
    <m/>
    <m/>
    <m/>
    <n v="0"/>
    <n v="1"/>
    <n v="18.795930000000002"/>
    <n v="0"/>
    <n v="1"/>
    <n v="0"/>
    <n v="1"/>
    <m/>
    <m/>
    <m/>
    <m/>
    <n v="0"/>
    <n v="1"/>
    <n v="14.261719999999999"/>
    <n v="9.5000000000000001E-2"/>
    <n v="0"/>
    <m/>
    <m/>
    <x v="2"/>
    <n v="1"/>
    <n v="1"/>
    <n v="0.2"/>
    <n v="0"/>
    <n v="0"/>
    <n v="0.5"/>
    <n v="0.76363636363636367"/>
    <n v="1"/>
    <n v="216"/>
    <n v="940"/>
    <n v="1"/>
    <m/>
    <m/>
    <m/>
    <m/>
    <m/>
    <m/>
    <x v="1"/>
    <n v="0"/>
    <m/>
    <n v="3"/>
    <n v="4"/>
    <n v="4"/>
    <n v="4"/>
    <n v="4"/>
    <n v="2"/>
    <n v="3"/>
    <n v="4"/>
    <n v="2"/>
    <n v="2"/>
    <n v="2"/>
    <n v="4"/>
    <n v="3"/>
    <n v="4"/>
    <n v="4"/>
    <n v="2"/>
    <n v="2"/>
    <n v="5"/>
    <n v="3"/>
    <n v="4"/>
    <n v="2"/>
    <n v="4"/>
    <n v="4"/>
    <n v="2"/>
    <n v="3"/>
    <n v="2"/>
    <n v="3"/>
    <n v="2"/>
    <n v="3"/>
    <n v="3"/>
    <n v="2"/>
    <n v="4"/>
    <n v="2"/>
    <n v="4"/>
    <n v="4"/>
    <n v="2"/>
    <n v="2"/>
    <n v="4"/>
    <n v="2"/>
    <n v="3"/>
    <n v="2"/>
    <n v="4"/>
    <n v="4"/>
    <n v="4"/>
    <n v="5"/>
    <n v="2"/>
    <n v="3"/>
    <n v="2"/>
    <n v="2"/>
    <n v="4"/>
    <n v="4"/>
    <n v="4"/>
    <n v="3"/>
    <n v="3"/>
    <n v="3"/>
    <n v="2"/>
    <n v="4"/>
    <n v="2"/>
    <n v="4"/>
    <n v="3"/>
    <n v="2"/>
    <n v="2"/>
    <n v="3"/>
    <n v="4"/>
    <n v="4"/>
    <n v="2"/>
    <n v="2"/>
    <n v="3"/>
    <n v="4"/>
    <n v="2"/>
    <n v="4"/>
    <n v="2"/>
    <n v="3"/>
    <n v="3"/>
    <n v="2"/>
    <n v="1"/>
    <n v="2"/>
    <n v="3"/>
    <n v="3"/>
    <n v="1"/>
    <n v="2"/>
    <n v="2"/>
    <n v="4"/>
    <n v="2"/>
    <n v="3"/>
    <n v="3"/>
    <n v="2"/>
    <n v="4"/>
    <n v="3"/>
    <n v="2"/>
    <n v="3"/>
    <n v="3"/>
    <n v="2"/>
    <n v="3"/>
    <n v="2"/>
    <n v="4"/>
    <n v="4"/>
    <n v="2"/>
    <n v="4"/>
    <n v="2"/>
    <n v="2"/>
    <n v="4"/>
    <n v="3"/>
    <n v="2"/>
    <n v="2"/>
    <n v="2"/>
    <n v="3"/>
    <n v="3"/>
    <n v="2"/>
    <n v="2"/>
    <n v="2"/>
    <n v="4"/>
    <n v="2"/>
    <n v="3"/>
    <n v="2"/>
    <n v="2"/>
    <n v="4"/>
    <n v="4"/>
    <n v="5"/>
    <n v="2"/>
    <n v="3"/>
    <n v="4"/>
    <n v="2.75"/>
    <n v="4.5"/>
    <x v="1"/>
    <n v="3.25"/>
    <x v="5"/>
    <n v="2.5"/>
    <x v="0"/>
    <n v="2"/>
    <n v="2.25"/>
    <n v="2.5"/>
    <n v="2"/>
    <x v="1"/>
    <n v="3.25"/>
    <n v="3.5"/>
    <n v="2.75"/>
    <x v="8"/>
    <x v="7"/>
    <n v="3"/>
    <n v="3.25"/>
    <n v="3.5"/>
    <x v="1"/>
    <n v="3.5"/>
    <n v="2"/>
    <n v="4"/>
    <n v="4"/>
    <n v="4"/>
    <n v="4"/>
    <x v="2"/>
    <n v="3.75"/>
  </r>
  <r>
    <n v="97"/>
    <d v="2023-07-07T10:58:55"/>
    <d v="2023-07-07T11:01:04"/>
    <s v="Consinto em participar no questionário e que os dados recolhidos sejam utilizados para os fins acima referidos."/>
    <s v="32"/>
    <s v="Feminino"/>
    <s v="Num relacionamento (casamento, união de facto, etc.)"/>
    <s v="Não"/>
    <s v="Ensino secundário"/>
    <s v="Nenhuma"/>
    <s v="Trabalhador(a) por conta de outrem"/>
    <s v="Administrativo "/>
    <s v="Já joguei, mas de momento não jogo"/>
    <s v="Dispositivos móveis (telemóvel, tablet);"/>
    <s v="Puzzles;"/>
    <m/>
    <m/>
    <m/>
    <m/>
    <m/>
    <m/>
    <m/>
    <m/>
    <m/>
    <m/>
    <m/>
    <m/>
    <m/>
    <m/>
    <m/>
    <m/>
    <n v="0"/>
    <n v="1"/>
    <n v="9.1164050000000003"/>
    <n v="0"/>
    <n v="0"/>
    <m/>
    <m/>
    <n v="3"/>
    <n v="0.25"/>
    <m/>
    <n v="3.3000000000000003"/>
    <n v="0"/>
    <n v="1"/>
    <n v="19.986830000000001"/>
    <n v="0.72750000000000004"/>
    <n v="0"/>
    <m/>
    <m/>
    <m/>
    <m/>
    <m/>
    <m/>
    <n v="0"/>
    <n v="1"/>
    <n v="7.1586790000000002"/>
    <n v="0"/>
    <n v="0"/>
    <m/>
    <m/>
    <n v="1"/>
    <n v="0"/>
    <n v="27.72186"/>
    <n v="0.89999999999999991"/>
    <m/>
    <m/>
    <m/>
    <m/>
    <n v="3"/>
    <n v="0"/>
    <m/>
    <n v="3.1500000000000004"/>
    <n v="0"/>
    <n v="1"/>
    <n v="8.8673559999999991"/>
    <n v="0"/>
    <n v="0"/>
    <m/>
    <m/>
    <n v="3"/>
    <n v="0"/>
    <m/>
    <n v="3.1500000000000004"/>
    <n v="0"/>
    <n v="1"/>
    <n v="14.635003333333334"/>
    <n v="0"/>
    <n v="2"/>
    <n v="2"/>
    <n v="0.5"/>
    <x v="4"/>
    <n v="2"/>
    <n v="1"/>
    <n v="0.2"/>
    <n v="0"/>
    <n v="0"/>
    <n v="0.70833333333333337"/>
    <n v="0.79090909090909089"/>
    <n v="3"/>
    <n v="350"/>
    <n v="1170"/>
    <n v="2"/>
    <m/>
    <m/>
    <m/>
    <m/>
    <m/>
    <m/>
    <x v="1"/>
    <n v="0"/>
    <m/>
    <n v="5"/>
    <n v="4"/>
    <n v="4"/>
    <n v="4"/>
    <n v="4"/>
    <n v="1"/>
    <n v="4"/>
    <n v="4"/>
    <n v="1"/>
    <n v="5"/>
    <n v="1"/>
    <n v="4"/>
    <n v="3"/>
    <n v="4"/>
    <n v="5"/>
    <n v="2"/>
    <n v="4"/>
    <n v="2"/>
    <n v="1"/>
    <n v="5"/>
    <n v="1"/>
    <n v="4"/>
    <n v="4"/>
    <n v="2"/>
    <n v="4"/>
    <n v="1"/>
    <n v="4"/>
    <n v="4"/>
    <n v="3"/>
    <n v="2"/>
    <n v="3"/>
    <n v="4"/>
    <n v="4"/>
    <n v="4"/>
    <n v="4"/>
    <n v="2"/>
    <n v="3"/>
    <n v="3"/>
    <n v="1"/>
    <n v="2"/>
    <n v="1"/>
    <n v="4"/>
    <n v="3"/>
    <n v="4"/>
    <n v="5"/>
    <n v="3"/>
    <n v="5"/>
    <n v="2"/>
    <n v="1"/>
    <n v="4"/>
    <n v="4"/>
    <n v="4"/>
    <n v="4"/>
    <n v="4"/>
    <n v="4"/>
    <n v="2"/>
    <n v="4"/>
    <n v="4"/>
    <n v="4"/>
    <n v="3"/>
    <n v="3"/>
    <n v="2"/>
    <n v="4"/>
    <n v="4"/>
    <n v="4"/>
    <n v="1"/>
    <n v="2"/>
    <n v="3"/>
    <n v="4"/>
    <n v="1"/>
    <n v="1"/>
    <n v="1"/>
    <n v="4"/>
    <n v="2"/>
    <n v="2"/>
    <n v="2"/>
    <n v="2"/>
    <n v="4"/>
    <n v="2"/>
    <n v="1"/>
    <n v="1"/>
    <n v="4"/>
    <n v="3"/>
    <n v="3"/>
    <n v="3"/>
    <n v="1"/>
    <n v="1"/>
    <n v="5"/>
    <n v="2"/>
    <n v="2"/>
    <n v="1"/>
    <n v="2"/>
    <n v="2"/>
    <n v="3"/>
    <n v="2"/>
    <n v="4"/>
    <n v="4"/>
    <n v="2"/>
    <n v="2"/>
    <n v="1"/>
    <n v="1"/>
    <n v="5"/>
    <n v="2"/>
    <n v="2"/>
    <n v="2"/>
    <n v="1"/>
    <n v="2"/>
    <n v="3"/>
    <n v="3"/>
    <n v="1"/>
    <n v="1"/>
    <n v="4"/>
    <n v="2"/>
    <n v="3"/>
    <n v="2"/>
    <n v="2"/>
    <n v="4"/>
    <n v="4"/>
    <n v="4"/>
    <n v="3"/>
    <n v="2"/>
    <n v="4"/>
    <n v="4.75"/>
    <n v="4.75"/>
    <x v="6"/>
    <n v="4.25"/>
    <x v="2"/>
    <n v="3.25"/>
    <x v="13"/>
    <n v="1"/>
    <n v="2.75"/>
    <n v="1.75"/>
    <n v="1.5"/>
    <x v="1"/>
    <n v="3.75"/>
    <n v="4"/>
    <n v="4"/>
    <x v="6"/>
    <x v="1"/>
    <n v="3.75"/>
    <n v="3.5"/>
    <n v="3.5"/>
    <x v="5"/>
    <n v="3"/>
    <n v="3.5"/>
    <n v="4"/>
    <n v="5"/>
    <n v="4"/>
    <n v="5"/>
    <x v="6"/>
    <n v="3.5"/>
  </r>
  <r>
    <n v="98"/>
    <d v="2023-07-07T10:58:48"/>
    <d v="2023-07-07T11:01:16"/>
    <s v="Consinto em participar no questionário e que os dados recolhidos sejam utilizados para os fins acima referidos."/>
    <s v="26"/>
    <s v="Feminino"/>
    <s v="Num relacionamento (casamento, união de facto, etc.)"/>
    <s v="Sim"/>
    <s v="Licenciatura (3-5 anos)"/>
    <s v="Outra"/>
    <s v="Trabalhador(a) por conta de outrem"/>
    <s v="Gestora administrativa "/>
    <s v="Já joguei, mas de momento não jogo"/>
    <s v="Dispositivos móveis (telemóvel, tablet);"/>
    <s v="Estratégia;Multiplayer;Simulação;"/>
    <m/>
    <m/>
    <m/>
    <m/>
    <n v="1"/>
    <n v="0"/>
    <n v="18.783750000000001"/>
    <n v="0"/>
    <n v="0"/>
    <n v="0"/>
    <n v="25.730599999999999"/>
    <n v="0"/>
    <m/>
    <m/>
    <m/>
    <m/>
    <n v="0"/>
    <n v="1"/>
    <n v="11.089589999999999"/>
    <n v="0"/>
    <n v="0"/>
    <m/>
    <m/>
    <n v="0"/>
    <n v="0.375"/>
    <n v="24.334619999999997"/>
    <n v="1.4999999999999999E-2"/>
    <m/>
    <m/>
    <m/>
    <m/>
    <n v="0"/>
    <m/>
    <m/>
    <m/>
    <m/>
    <m/>
    <m/>
    <n v="0"/>
    <n v="1"/>
    <n v="7.1525939999999997"/>
    <n v="0"/>
    <n v="0"/>
    <m/>
    <m/>
    <m/>
    <m/>
    <m/>
    <m/>
    <n v="0"/>
    <n v="1"/>
    <n v="13.539620000000001"/>
    <n v="0"/>
    <m/>
    <m/>
    <m/>
    <m/>
    <n v="0"/>
    <n v="1"/>
    <n v="17.44079"/>
    <n v="0"/>
    <n v="0"/>
    <m/>
    <m/>
    <m/>
    <m/>
    <m/>
    <m/>
    <n v="0"/>
    <n v="1"/>
    <n v="22.29325"/>
    <n v="8.2500000000000004E-2"/>
    <n v="0"/>
    <m/>
    <m/>
    <x v="1"/>
    <n v="0"/>
    <n v="0"/>
    <n v="0"/>
    <n v="0"/>
    <n v="1"/>
    <n v="0.20833333333333334"/>
    <n v="0.38181818181818183"/>
    <n v="0"/>
    <n v="283"/>
    <n v="420"/>
    <n v="0"/>
    <m/>
    <m/>
    <m/>
    <m/>
    <m/>
    <m/>
    <x v="1"/>
    <n v="0"/>
    <m/>
    <n v="4"/>
    <n v="3"/>
    <n v="4"/>
    <n v="3"/>
    <n v="4"/>
    <n v="4"/>
    <n v="3"/>
    <n v="3"/>
    <n v="1"/>
    <n v="5"/>
    <n v="2"/>
    <n v="4"/>
    <n v="4"/>
    <n v="3"/>
    <n v="4"/>
    <n v="3"/>
    <n v="3"/>
    <n v="2"/>
    <n v="3"/>
    <n v="2"/>
    <n v="2"/>
    <n v="4"/>
    <n v="3"/>
    <n v="2"/>
    <n v="3"/>
    <n v="2"/>
    <n v="3"/>
    <n v="3"/>
    <n v="4"/>
    <n v="2"/>
    <n v="2"/>
    <n v="3"/>
    <n v="2"/>
    <n v="3"/>
    <n v="3"/>
    <n v="4"/>
    <n v="3"/>
    <n v="3"/>
    <n v="2"/>
    <n v="2"/>
    <n v="2"/>
    <n v="3"/>
    <n v="3"/>
    <n v="4"/>
    <n v="4"/>
    <n v="3"/>
    <n v="3"/>
    <n v="4"/>
    <n v="2"/>
    <n v="3"/>
    <n v="3"/>
    <n v="3"/>
    <n v="3"/>
    <n v="3"/>
    <n v="4"/>
    <n v="2"/>
    <n v="4"/>
    <n v="5"/>
    <n v="4"/>
    <n v="2"/>
    <n v="2"/>
    <n v="3"/>
    <n v="3"/>
    <n v="3"/>
    <n v="3"/>
    <n v="4"/>
    <n v="3"/>
    <n v="4"/>
    <n v="4"/>
    <n v="2"/>
    <n v="2"/>
    <n v="3"/>
    <n v="3"/>
    <n v="2"/>
    <n v="3"/>
    <n v="2"/>
    <n v="2"/>
    <n v="2"/>
    <n v="2"/>
    <n v="1"/>
    <n v="2"/>
    <n v="2"/>
    <n v="3"/>
    <n v="3"/>
    <n v="3"/>
    <n v="3"/>
    <n v="3"/>
    <n v="4"/>
    <n v="2"/>
    <n v="3"/>
    <n v="4"/>
    <n v="4"/>
    <n v="3"/>
    <n v="4"/>
    <n v="3"/>
    <n v="3"/>
    <n v="2"/>
    <n v="4"/>
    <n v="4"/>
    <n v="2"/>
    <n v="1"/>
    <n v="4"/>
    <n v="3"/>
    <n v="2"/>
    <n v="2"/>
    <n v="2"/>
    <n v="3"/>
    <n v="4"/>
    <n v="3"/>
    <n v="2"/>
    <n v="2"/>
    <n v="3"/>
    <n v="2"/>
    <n v="2"/>
    <n v="2"/>
    <n v="3"/>
    <n v="2"/>
    <n v="4"/>
    <n v="3"/>
    <n v="3"/>
    <n v="2"/>
    <n v="3.25"/>
    <n v="4.5"/>
    <n v="4"/>
    <x v="10"/>
    <n v="3.25"/>
    <x v="4"/>
    <n v="3"/>
    <x v="9"/>
    <n v="2.25"/>
    <n v="2.75"/>
    <n v="3"/>
    <n v="2.75"/>
    <x v="2"/>
    <n v="2.75"/>
    <n v="3.25"/>
    <n v="2.5"/>
    <x v="7"/>
    <x v="7"/>
    <n v="3.25"/>
    <n v="2.5"/>
    <n v="3.75"/>
    <x v="7"/>
    <n v="3.25"/>
    <n v="3.75"/>
    <n v="3"/>
    <n v="4.25"/>
    <n v="3.5"/>
    <n v="4"/>
    <x v="2"/>
    <n v="3.5"/>
  </r>
  <r>
    <n v="99"/>
    <d v="2023-07-07T11:00:02"/>
    <d v="2023-07-07T11:01:40"/>
    <s v="Consinto em participar no questionário e que os dados recolhidos sejam utilizados para os fins acima referidos."/>
    <s v="40"/>
    <s v="Feminino"/>
    <s v="Num relacionamento (casamento, união de facto, etc.)"/>
    <s v="Sim"/>
    <s v="Ensino secundário"/>
    <s v="Ciências naturais"/>
    <s v="Trabalhador(a) por conta de outrem"/>
    <s v="Assistente administrativo "/>
    <s v="Algumas vezes por semana"/>
    <s v="Dispositivos móveis (telemóvel, tablet);"/>
    <s v="Acção;Puzzles;Estratégia;"/>
    <m/>
    <m/>
    <m/>
    <m/>
    <m/>
    <m/>
    <m/>
    <m/>
    <m/>
    <m/>
    <m/>
    <m/>
    <m/>
    <m/>
    <m/>
    <m/>
    <n v="0"/>
    <n v="0.5"/>
    <n v="4.0989269999999998"/>
    <n v="0"/>
    <n v="0"/>
    <m/>
    <m/>
    <n v="3"/>
    <n v="0.125"/>
    <m/>
    <n v="3.3000000000000003"/>
    <n v="0"/>
    <n v="1"/>
    <n v="33.162510000000005"/>
    <n v="0.3075"/>
    <n v="0"/>
    <m/>
    <m/>
    <m/>
    <m/>
    <m/>
    <m/>
    <n v="0"/>
    <n v="1"/>
    <n v="6.3789620000000005"/>
    <n v="0"/>
    <n v="0"/>
    <m/>
    <m/>
    <m/>
    <m/>
    <m/>
    <m/>
    <n v="0"/>
    <n v="1"/>
    <n v="12.9581"/>
    <n v="0"/>
    <m/>
    <m/>
    <m/>
    <m/>
    <n v="0"/>
    <n v="1"/>
    <n v="24.286200000000001"/>
    <n v="0"/>
    <n v="1"/>
    <n v="1"/>
    <n v="0.5"/>
    <m/>
    <m/>
    <m/>
    <m/>
    <n v="0"/>
    <n v="1"/>
    <n v="22.424599999999998"/>
    <n v="0.40500000000000003"/>
    <n v="0"/>
    <m/>
    <m/>
    <x v="2"/>
    <n v="1"/>
    <n v="1"/>
    <n v="0.2"/>
    <n v="0"/>
    <n v="0"/>
    <n v="0.35416666666666669"/>
    <n v="0.5"/>
    <n v="0"/>
    <n v="200"/>
    <n v="550"/>
    <n v="0"/>
    <m/>
    <m/>
    <m/>
    <m/>
    <m/>
    <m/>
    <x v="1"/>
    <n v="0"/>
    <m/>
    <n v="5"/>
    <n v="1"/>
    <n v="4"/>
    <n v="2"/>
    <n v="4"/>
    <n v="2"/>
    <n v="3"/>
    <n v="4"/>
    <n v="1"/>
    <n v="4"/>
    <n v="2"/>
    <n v="4"/>
    <n v="2"/>
    <n v="5"/>
    <n v="5"/>
    <n v="4"/>
    <n v="2"/>
    <n v="4"/>
    <n v="5"/>
    <n v="5"/>
    <n v="2"/>
    <n v="4"/>
    <n v="5"/>
    <n v="2"/>
    <n v="2"/>
    <n v="2"/>
    <n v="2"/>
    <n v="1"/>
    <n v="3"/>
    <n v="1"/>
    <n v="4"/>
    <n v="2"/>
    <n v="4"/>
    <n v="2"/>
    <n v="4"/>
    <n v="2"/>
    <n v="2"/>
    <n v="4"/>
    <n v="1"/>
    <n v="2"/>
    <n v="4"/>
    <n v="1"/>
    <n v="2"/>
    <n v="4"/>
    <n v="4"/>
    <n v="5"/>
    <n v="2"/>
    <n v="4"/>
    <n v="1"/>
    <n v="2"/>
    <n v="4"/>
    <n v="4"/>
    <n v="5"/>
    <n v="3"/>
    <n v="3"/>
    <n v="2"/>
    <n v="2"/>
    <n v="4"/>
    <n v="2"/>
    <n v="1"/>
    <n v="2"/>
    <n v="2"/>
    <n v="4"/>
    <n v="2"/>
    <n v="4"/>
    <n v="2"/>
    <n v="2"/>
    <n v="2"/>
    <n v="4"/>
    <n v="1"/>
    <n v="3"/>
    <n v="2"/>
    <n v="2"/>
    <n v="4"/>
    <n v="1"/>
    <n v="1"/>
    <n v="2"/>
    <n v="2"/>
    <n v="2"/>
    <n v="1"/>
    <n v="1"/>
    <n v="2"/>
    <n v="4"/>
    <n v="2"/>
    <n v="4"/>
    <n v="2"/>
    <n v="2"/>
    <n v="4"/>
    <n v="2"/>
    <n v="2"/>
    <n v="2"/>
    <n v="2"/>
    <n v="2"/>
    <n v="4"/>
    <n v="4"/>
    <n v="3"/>
    <n v="4"/>
    <n v="4"/>
    <n v="2"/>
    <n v="1"/>
    <n v="2"/>
    <n v="2"/>
    <n v="4"/>
    <n v="1"/>
    <n v="2"/>
    <n v="1"/>
    <n v="2"/>
    <n v="5"/>
    <n v="2"/>
    <n v="1"/>
    <n v="2"/>
    <n v="4"/>
    <n v="1"/>
    <n v="5"/>
    <n v="1"/>
    <n v="1"/>
    <n v="5"/>
    <n v="2"/>
    <n v="2"/>
    <n v="3"/>
    <n v="1"/>
    <n v="3.75"/>
    <n v="3.75"/>
    <n v="4.75"/>
    <x v="1"/>
    <n v="3.5"/>
    <x v="7"/>
    <n v="3.25"/>
    <x v="0"/>
    <n v="3"/>
    <n v="3.75"/>
    <n v="2.5"/>
    <n v="1.75"/>
    <x v="3"/>
    <n v="2.75"/>
    <n v="2.25"/>
    <n v="1.75"/>
    <x v="6"/>
    <x v="5"/>
    <n v="4"/>
    <n v="4"/>
    <n v="2.75"/>
    <x v="11"/>
    <n v="2.75"/>
    <n v="3.25"/>
    <n v="2"/>
    <n v="5"/>
    <n v="4.5"/>
    <n v="4"/>
    <x v="2"/>
    <n v="3"/>
  </r>
  <r>
    <n v="100"/>
    <d v="2023-07-07T11:42:31"/>
    <d v="2023-07-07T11:44:36"/>
    <s v="Consinto em participar no questionário e que os dados recolhidos sejam utilizados para os fins acima referidos."/>
    <s v="39"/>
    <s v="Feminino"/>
    <s v="Num relacionamento (casamento, união de facto, etc.)"/>
    <s v="Sim"/>
    <s v="Licenciatura (3-5 anos)"/>
    <s v="Ciências sociais"/>
    <s v="Trabalhador(a) por conta de outrem"/>
    <s v="Administrativa"/>
    <s v="Nunca"/>
    <s v="Não costumo jogar;"/>
    <s v="Nenhum;"/>
    <m/>
    <m/>
    <m/>
    <m/>
    <m/>
    <m/>
    <m/>
    <m/>
    <m/>
    <m/>
    <m/>
    <m/>
    <n v="1"/>
    <n v="0"/>
    <m/>
    <n v="1.05"/>
    <n v="0"/>
    <n v="1"/>
    <n v="14.18866"/>
    <n v="0"/>
    <n v="0"/>
    <m/>
    <m/>
    <n v="2"/>
    <n v="0.125"/>
    <m/>
    <n v="2.1025"/>
    <n v="0"/>
    <n v="0.66666666666666663"/>
    <n v="13.24826"/>
    <n v="0.4375"/>
    <n v="0"/>
    <m/>
    <m/>
    <m/>
    <m/>
    <m/>
    <m/>
    <n v="0"/>
    <n v="1"/>
    <n v="8.125"/>
    <n v="0"/>
    <n v="0"/>
    <m/>
    <m/>
    <m/>
    <m/>
    <m/>
    <m/>
    <n v="0"/>
    <n v="1"/>
    <n v="18.485439999999997"/>
    <n v="0"/>
    <m/>
    <m/>
    <m/>
    <m/>
    <n v="0"/>
    <n v="1"/>
    <n v="9.2075669999999992"/>
    <n v="0"/>
    <n v="0"/>
    <m/>
    <m/>
    <m/>
    <m/>
    <m/>
    <m/>
    <n v="0"/>
    <n v="1"/>
    <n v="16.786339999999999"/>
    <n v="0.03"/>
    <n v="0"/>
    <m/>
    <m/>
    <x v="1"/>
    <n v="1"/>
    <n v="0"/>
    <n v="0"/>
    <n v="0"/>
    <n v="0"/>
    <n v="0.33333333333333331"/>
    <n v="0.55454545454545456"/>
    <n v="0"/>
    <n v="284"/>
    <n v="610"/>
    <n v="0"/>
    <m/>
    <m/>
    <m/>
    <m/>
    <m/>
    <m/>
    <x v="1"/>
    <n v="0"/>
    <m/>
    <n v="5"/>
    <n v="5"/>
    <n v="4"/>
    <n v="4"/>
    <n v="2"/>
    <n v="4"/>
    <n v="5"/>
    <n v="4"/>
    <n v="1"/>
    <n v="4"/>
    <n v="5"/>
    <n v="2"/>
    <n v="5"/>
    <n v="5"/>
    <n v="5"/>
    <n v="2"/>
    <n v="2"/>
    <n v="5"/>
    <n v="1"/>
    <n v="5"/>
    <n v="4"/>
    <n v="4"/>
    <n v="1"/>
    <n v="1"/>
    <n v="1"/>
    <n v="4"/>
    <n v="4"/>
    <n v="5"/>
    <n v="1"/>
    <n v="1"/>
    <n v="5"/>
    <n v="4"/>
    <n v="4"/>
    <n v="4"/>
    <n v="1"/>
    <n v="4"/>
    <n v="5"/>
    <n v="5"/>
    <n v="1"/>
    <n v="2"/>
    <n v="1"/>
    <n v="1"/>
    <n v="4"/>
    <n v="5"/>
    <n v="5"/>
    <n v="2"/>
    <n v="1"/>
    <n v="5"/>
    <n v="1"/>
    <n v="2"/>
    <n v="1"/>
    <n v="1"/>
    <n v="5"/>
    <n v="2"/>
    <n v="2"/>
    <n v="3"/>
    <n v="4"/>
    <n v="1"/>
    <n v="5"/>
    <n v="4"/>
    <n v="5"/>
    <n v="4"/>
    <n v="5"/>
    <n v="4"/>
    <n v="2"/>
    <n v="4"/>
    <n v="1"/>
    <n v="4"/>
    <n v="4"/>
    <n v="1"/>
    <n v="2"/>
    <n v="5"/>
    <n v="1"/>
    <n v="2"/>
    <n v="1"/>
    <n v="1"/>
    <n v="2"/>
    <n v="1"/>
    <n v="4"/>
    <n v="1"/>
    <n v="4"/>
    <n v="4"/>
    <n v="1"/>
    <n v="4"/>
    <n v="1"/>
    <n v="4"/>
    <n v="4"/>
    <n v="5"/>
    <n v="1"/>
    <n v="1"/>
    <n v="1"/>
    <n v="5"/>
    <n v="4"/>
    <n v="4"/>
    <n v="4"/>
    <n v="2"/>
    <n v="2"/>
    <n v="2"/>
    <n v="4"/>
    <n v="1"/>
    <n v="1"/>
    <n v="2"/>
    <n v="4"/>
    <n v="1"/>
    <n v="1"/>
    <n v="1"/>
    <n v="1"/>
    <n v="5"/>
    <n v="5"/>
    <n v="4"/>
    <n v="2"/>
    <n v="2"/>
    <n v="1"/>
    <n v="5"/>
    <n v="1"/>
    <n v="5"/>
    <n v="1"/>
    <n v="2"/>
    <n v="5"/>
    <n v="1"/>
    <n v="1"/>
    <n v="1.75"/>
    <n v="4.25"/>
    <n v="5"/>
    <x v="10"/>
    <n v="1.5"/>
    <x v="10"/>
    <n v="5"/>
    <x v="9"/>
    <n v="3.75"/>
    <n v="2.75"/>
    <n v="3.75"/>
    <n v="4"/>
    <x v="9"/>
    <n v="4.75"/>
    <n v="1.5"/>
    <n v="1.25"/>
    <x v="10"/>
    <x v="7"/>
    <n v="4.25"/>
    <n v="3.25"/>
    <n v="4.5"/>
    <x v="3"/>
    <n v="1.25"/>
    <n v="3"/>
    <n v="3.5"/>
    <n v="5"/>
    <n v="5"/>
    <n v="4.25"/>
    <x v="12"/>
    <n v="4"/>
  </r>
  <r>
    <n v="101"/>
    <d v="2023-07-07T11:42:37"/>
    <d v="2023-07-07T11:44:44"/>
    <s v="Consinto em participar no questionário e que os dados recolhidos sejam utilizados para os fins acima referidos."/>
    <s v="33"/>
    <s v="Masculino"/>
    <s v="Num relacionamento (casamento, união de facto, etc.)"/>
    <s v="Sim"/>
    <s v="Bacharelato (2-3 anos)"/>
    <s v="Outra"/>
    <s v="Trabalhador(a) por conta de outrem"/>
    <s v="Técnico administrativo"/>
    <s v="Algumas vezes por semana"/>
    <s v="Consolas fixas (XBox, Playstation...);Computador (portátil, desktop...);Dispositivos móveis (telemóvel, tablet);Outra;"/>
    <s v="Aventura;Acção;Batalha/luta;Multiplayer;Simulação;Desporto;"/>
    <m/>
    <m/>
    <m/>
    <m/>
    <m/>
    <m/>
    <m/>
    <m/>
    <m/>
    <m/>
    <m/>
    <m/>
    <m/>
    <m/>
    <m/>
    <m/>
    <n v="0"/>
    <n v="1"/>
    <n v="6.6552389999999999"/>
    <n v="0"/>
    <n v="0"/>
    <m/>
    <m/>
    <n v="0"/>
    <n v="0.375"/>
    <n v="14.696260000000001"/>
    <n v="0.1825"/>
    <m/>
    <m/>
    <m/>
    <m/>
    <n v="0"/>
    <m/>
    <m/>
    <n v="2"/>
    <n v="0.25"/>
    <m/>
    <n v="2.08"/>
    <n v="0"/>
    <n v="1"/>
    <n v="5.2769510000000004"/>
    <n v="0"/>
    <n v="0"/>
    <m/>
    <m/>
    <m/>
    <m/>
    <m/>
    <m/>
    <n v="0"/>
    <n v="1"/>
    <n v="12.020020000000001"/>
    <n v="0"/>
    <m/>
    <m/>
    <m/>
    <m/>
    <n v="0"/>
    <n v="1"/>
    <n v="15.576750000000001"/>
    <n v="0"/>
    <n v="0"/>
    <m/>
    <m/>
    <m/>
    <m/>
    <m/>
    <m/>
    <n v="0"/>
    <n v="1"/>
    <n v="13.250389999999999"/>
    <n v="0.215"/>
    <n v="0"/>
    <m/>
    <m/>
    <x v="1"/>
    <n v="2"/>
    <n v="0"/>
    <n v="0"/>
    <n v="0"/>
    <n v="0"/>
    <n v="0.79166666666666663"/>
    <n v="0.90909090909090906"/>
    <n v="2"/>
    <n v="352"/>
    <n v="1200"/>
    <n v="2"/>
    <n v="1"/>
    <n v="1"/>
    <n v="3"/>
    <n v="333"/>
    <n v="1400"/>
    <n v="3"/>
    <x v="0"/>
    <n v="0"/>
    <m/>
    <n v="4"/>
    <n v="4"/>
    <n v="4"/>
    <n v="4"/>
    <n v="3"/>
    <n v="3"/>
    <n v="4"/>
    <n v="4"/>
    <n v="2"/>
    <n v="2"/>
    <n v="3"/>
    <n v="3"/>
    <n v="4"/>
    <n v="4"/>
    <n v="4"/>
    <n v="3"/>
    <n v="3"/>
    <n v="4"/>
    <n v="4"/>
    <n v="4"/>
    <n v="4"/>
    <n v="4"/>
    <n v="4"/>
    <n v="2"/>
    <n v="2"/>
    <n v="3"/>
    <n v="3"/>
    <n v="3"/>
    <n v="3"/>
    <n v="4"/>
    <n v="4"/>
    <n v="4"/>
    <n v="2"/>
    <n v="3"/>
    <n v="3"/>
    <n v="4"/>
    <n v="4"/>
    <n v="4"/>
    <n v="2"/>
    <n v="4"/>
    <n v="3"/>
    <n v="3"/>
    <n v="4"/>
    <n v="4"/>
    <n v="5"/>
    <n v="3"/>
    <n v="4"/>
    <n v="3"/>
    <n v="3"/>
    <n v="3"/>
    <n v="3"/>
    <n v="4"/>
    <n v="4"/>
    <n v="2"/>
    <n v="3"/>
    <n v="3"/>
    <n v="4"/>
    <n v="4"/>
    <n v="4"/>
    <n v="4"/>
    <n v="4"/>
    <n v="2"/>
    <n v="4"/>
    <n v="3"/>
    <n v="4"/>
    <n v="3"/>
    <n v="3"/>
    <n v="3"/>
    <n v="4"/>
    <n v="2"/>
    <n v="4"/>
    <n v="4"/>
    <n v="3"/>
    <n v="3"/>
    <n v="2"/>
    <n v="2"/>
    <n v="3"/>
    <n v="3"/>
    <n v="3"/>
    <n v="4"/>
    <n v="2"/>
    <n v="3"/>
    <n v="4"/>
    <n v="4"/>
    <n v="2"/>
    <n v="4"/>
    <n v="3"/>
    <n v="4"/>
    <n v="2"/>
    <n v="2"/>
    <n v="4"/>
    <n v="4"/>
    <n v="3"/>
    <n v="3"/>
    <n v="2"/>
    <n v="2"/>
    <n v="2"/>
    <n v="4"/>
    <n v="3"/>
    <n v="2"/>
    <n v="3"/>
    <n v="3"/>
    <n v="3"/>
    <n v="2"/>
    <n v="2"/>
    <n v="2"/>
    <n v="2"/>
    <n v="4"/>
    <n v="2"/>
    <n v="2"/>
    <n v="1"/>
    <n v="4"/>
    <n v="2"/>
    <n v="4"/>
    <n v="2"/>
    <n v="3"/>
    <n v="3"/>
    <n v="4"/>
    <n v="4"/>
    <n v="4"/>
    <n v="2"/>
    <n v="3"/>
    <n v="2.25"/>
    <n v="4.25"/>
    <x v="1"/>
    <n v="2.5"/>
    <x v="12"/>
    <n v="4"/>
    <x v="4"/>
    <n v="3.25"/>
    <n v="3.25"/>
    <n v="3"/>
    <n v="3"/>
    <x v="6"/>
    <n v="3.25"/>
    <n v="3"/>
    <n v="3"/>
    <x v="8"/>
    <x v="7"/>
    <n v="3.25"/>
    <n v="3.5"/>
    <n v="3.75"/>
    <x v="11"/>
    <n v="2.5"/>
    <n v="3.25"/>
    <n v="3.5"/>
    <n v="4"/>
    <n v="4"/>
    <n v="2.75"/>
    <x v="3"/>
    <n v="3.25"/>
  </r>
  <r>
    <n v="102"/>
    <d v="2023-07-07T11:43:23"/>
    <d v="2023-07-07T11:45:26"/>
    <s v="Consinto em participar no questionário e que os dados recolhidos sejam utilizados para os fins acima referidos."/>
    <s v="31"/>
    <s v="Masculino"/>
    <s v="Solteiro(a)"/>
    <s v="Não"/>
    <s v="Licenciatura (3-5 anos)"/>
    <s v="Outra"/>
    <s v="Trabalhador(a) por conta de outrem"/>
    <s v="Gestor"/>
    <s v="Já joguei, mas de momento não jogo"/>
    <s v="Consolas fixas (XBox, Playstation...);"/>
    <s v="Desporto;"/>
    <m/>
    <m/>
    <m/>
    <m/>
    <m/>
    <m/>
    <m/>
    <m/>
    <m/>
    <m/>
    <m/>
    <m/>
    <m/>
    <m/>
    <m/>
    <m/>
    <n v="0"/>
    <n v="0.5"/>
    <n v="18.075869999999998"/>
    <n v="0"/>
    <n v="1"/>
    <n v="0"/>
    <n v="1"/>
    <n v="3"/>
    <n v="0.25"/>
    <m/>
    <n v="3.3000000000000003"/>
    <n v="0"/>
    <n v="0.66666666666666663"/>
    <n v="8.2136530000000008"/>
    <n v="0.23749999999999999"/>
    <n v="0"/>
    <m/>
    <m/>
    <m/>
    <m/>
    <m/>
    <m/>
    <n v="0"/>
    <n v="1"/>
    <n v="8.7798629999999989"/>
    <n v="0"/>
    <n v="0"/>
    <m/>
    <m/>
    <m/>
    <m/>
    <m/>
    <m/>
    <n v="0"/>
    <n v="1"/>
    <n v="22.022770000000001"/>
    <n v="0"/>
    <m/>
    <m/>
    <m/>
    <m/>
    <n v="0"/>
    <n v="1"/>
    <n v="41.649389999999997"/>
    <n v="0"/>
    <n v="1"/>
    <n v="0"/>
    <n v="1"/>
    <m/>
    <m/>
    <m/>
    <m/>
    <n v="0"/>
    <n v="1"/>
    <n v="28.724169999999997"/>
    <n v="0.4325"/>
    <n v="0"/>
    <m/>
    <m/>
    <x v="2"/>
    <n v="1"/>
    <n v="2"/>
    <n v="0.4"/>
    <n v="0"/>
    <n v="0"/>
    <n v="0.22916666666666666"/>
    <n v="0.35454545454545455"/>
    <n v="0"/>
    <n v="132"/>
    <n v="390"/>
    <n v="0"/>
    <m/>
    <m/>
    <m/>
    <m/>
    <m/>
    <m/>
    <x v="1"/>
    <n v="0"/>
    <m/>
    <n v="5"/>
    <n v="2"/>
    <n v="4"/>
    <n v="4"/>
    <n v="4"/>
    <n v="3"/>
    <n v="2"/>
    <n v="4"/>
    <n v="2"/>
    <n v="2"/>
    <n v="3"/>
    <n v="4"/>
    <n v="4"/>
    <n v="4"/>
    <n v="4"/>
    <n v="3"/>
    <n v="3"/>
    <n v="4"/>
    <n v="2"/>
    <n v="4"/>
    <n v="4"/>
    <n v="4"/>
    <n v="4"/>
    <n v="3"/>
    <n v="3"/>
    <n v="2"/>
    <n v="3"/>
    <n v="1"/>
    <n v="2"/>
    <n v="2"/>
    <n v="4"/>
    <n v="3"/>
    <n v="2"/>
    <n v="4"/>
    <n v="4"/>
    <n v="3"/>
    <n v="2"/>
    <n v="3"/>
    <n v="2"/>
    <n v="2"/>
    <n v="2"/>
    <n v="3"/>
    <n v="4"/>
    <n v="4"/>
    <n v="4"/>
    <n v="2"/>
    <n v="4"/>
    <n v="3"/>
    <n v="3"/>
    <n v="3"/>
    <n v="2"/>
    <n v="2"/>
    <n v="2"/>
    <n v="4"/>
    <n v="4"/>
    <n v="3"/>
    <n v="3"/>
    <n v="4"/>
    <n v="4"/>
    <n v="3"/>
    <n v="3"/>
    <n v="2"/>
    <n v="2"/>
    <n v="4"/>
    <n v="4"/>
    <n v="4"/>
    <n v="3"/>
    <n v="3"/>
    <n v="4"/>
    <n v="2"/>
    <n v="3"/>
    <n v="3"/>
    <n v="3"/>
    <n v="2"/>
    <n v="2"/>
    <n v="2"/>
    <n v="3"/>
    <n v="3"/>
    <n v="3"/>
    <n v="2"/>
    <n v="2"/>
    <n v="2"/>
    <n v="2"/>
    <n v="2"/>
    <n v="4"/>
    <n v="2"/>
    <n v="2"/>
    <n v="4"/>
    <n v="1"/>
    <n v="2"/>
    <n v="2"/>
    <n v="4"/>
    <n v="3"/>
    <n v="2"/>
    <n v="2"/>
    <n v="4"/>
    <n v="3"/>
    <n v="3"/>
    <n v="3"/>
    <n v="2"/>
    <n v="2"/>
    <n v="4"/>
    <n v="3"/>
    <n v="2"/>
    <n v="2"/>
    <n v="2"/>
    <n v="2"/>
    <n v="4"/>
    <n v="3"/>
    <n v="2"/>
    <n v="2"/>
    <n v="3"/>
    <n v="3"/>
    <n v="2"/>
    <n v="3"/>
    <n v="3"/>
    <n v="4"/>
    <n v="4"/>
    <n v="3"/>
    <n v="3"/>
    <n v="2"/>
    <n v="4"/>
    <n v="3.25"/>
    <n v="4"/>
    <x v="8"/>
    <n v="3.5"/>
    <x v="8"/>
    <n v="4"/>
    <x v="14"/>
    <n v="2.5"/>
    <n v="3"/>
    <n v="3.75"/>
    <n v="2.25"/>
    <x v="2"/>
    <n v="2.5"/>
    <n v="3.25"/>
    <n v="3"/>
    <x v="2"/>
    <x v="8"/>
    <n v="2.5"/>
    <n v="3.25"/>
    <n v="4"/>
    <x v="5"/>
    <n v="4"/>
    <n v="3.25"/>
    <n v="4"/>
    <n v="4"/>
    <n v="4"/>
    <n v="3.75"/>
    <x v="9"/>
    <n v="3.25"/>
  </r>
  <r>
    <n v="103"/>
    <d v="2023-07-07T11:43:55"/>
    <d v="2023-07-07T11:45:32"/>
    <s v="Consinto em participar no questionário e que os dados recolhidos sejam utilizados para os fins acima referidos."/>
    <s v="35"/>
    <s v="Feminino"/>
    <s v="Num relacionamento (casamento, união de facto, etc.)"/>
    <s v="Sim"/>
    <s v="Licenciatura (3-5 anos)"/>
    <s v="Ciências médicas e da saúde"/>
    <s v="Trabalhador(a) por conta de outrem"/>
    <s v="Enfermeira"/>
    <s v="Já joguei, mas de momento não jogo"/>
    <s v="Não costumo jogar;"/>
    <s v="Estratégia;"/>
    <m/>
    <m/>
    <m/>
    <m/>
    <m/>
    <m/>
    <m/>
    <m/>
    <m/>
    <m/>
    <m/>
    <m/>
    <m/>
    <m/>
    <m/>
    <m/>
    <n v="0"/>
    <n v="1"/>
    <n v="41.256779999999999"/>
    <n v="0"/>
    <n v="1"/>
    <n v="0"/>
    <n v="1"/>
    <n v="1"/>
    <n v="0.375"/>
    <n v="45.013980000000004"/>
    <n v="1.5250000000000001"/>
    <m/>
    <m/>
    <m/>
    <m/>
    <n v="0"/>
    <m/>
    <m/>
    <m/>
    <m/>
    <m/>
    <m/>
    <n v="0"/>
    <n v="1"/>
    <n v="7.0826360000000008"/>
    <n v="0"/>
    <n v="0"/>
    <m/>
    <m/>
    <n v="1"/>
    <m/>
    <m/>
    <n v="1.05"/>
    <n v="0"/>
    <n v="1"/>
    <n v="15.254299999999999"/>
    <n v="0"/>
    <m/>
    <m/>
    <m/>
    <m/>
    <n v="0"/>
    <n v="1"/>
    <n v="10.79571"/>
    <n v="0"/>
    <n v="0"/>
    <m/>
    <m/>
    <m/>
    <m/>
    <m/>
    <m/>
    <n v="0"/>
    <n v="1"/>
    <n v="14.921610000000001"/>
    <n v="4.2500000000000003E-2"/>
    <n v="0"/>
    <m/>
    <m/>
    <x v="1"/>
    <n v="0"/>
    <n v="1"/>
    <n v="0.2"/>
    <n v="0"/>
    <n v="0"/>
    <n v="0"/>
    <n v="0.25454545454545452"/>
    <n v="0"/>
    <n v="133"/>
    <n v="280"/>
    <n v="0"/>
    <m/>
    <m/>
    <m/>
    <m/>
    <m/>
    <m/>
    <x v="1"/>
    <n v="0"/>
    <m/>
    <n v="5"/>
    <n v="4"/>
    <n v="3"/>
    <n v="4"/>
    <n v="4"/>
    <n v="3"/>
    <n v="4"/>
    <n v="4"/>
    <n v="1"/>
    <n v="4"/>
    <n v="1"/>
    <n v="4"/>
    <n v="4"/>
    <n v="5"/>
    <n v="5"/>
    <n v="2"/>
    <n v="4"/>
    <n v="5"/>
    <n v="1"/>
    <n v="4"/>
    <n v="2"/>
    <n v="5"/>
    <n v="4"/>
    <n v="1"/>
    <n v="2"/>
    <n v="2"/>
    <n v="3"/>
    <n v="2"/>
    <n v="4"/>
    <n v="2"/>
    <n v="3"/>
    <n v="5"/>
    <n v="1"/>
    <n v="4"/>
    <n v="2"/>
    <n v="2"/>
    <n v="4"/>
    <n v="3"/>
    <n v="1"/>
    <n v="2"/>
    <n v="1"/>
    <n v="1"/>
    <n v="3"/>
    <n v="5"/>
    <n v="5"/>
    <n v="4"/>
    <n v="3"/>
    <n v="4"/>
    <n v="1"/>
    <n v="2"/>
    <n v="3"/>
    <n v="3"/>
    <n v="5"/>
    <n v="2"/>
    <n v="4"/>
    <n v="2"/>
    <n v="4"/>
    <n v="5"/>
    <n v="5"/>
    <n v="3"/>
    <n v="4"/>
    <n v="1"/>
    <n v="3"/>
    <n v="4"/>
    <n v="4"/>
    <n v="2"/>
    <n v="2"/>
    <n v="3"/>
    <n v="4"/>
    <n v="1"/>
    <n v="2"/>
    <n v="1"/>
    <n v="3"/>
    <n v="2"/>
    <n v="1"/>
    <n v="2"/>
    <n v="3"/>
    <n v="3"/>
    <n v="4"/>
    <n v="1"/>
    <n v="1"/>
    <n v="3"/>
    <n v="1"/>
    <n v="3"/>
    <n v="1"/>
    <n v="2"/>
    <n v="1"/>
    <n v="5"/>
    <n v="2"/>
    <n v="1"/>
    <n v="2"/>
    <n v="2"/>
    <n v="1"/>
    <n v="4"/>
    <n v="2"/>
    <n v="3"/>
    <n v="4"/>
    <n v="2"/>
    <n v="2"/>
    <n v="1"/>
    <n v="3"/>
    <n v="4"/>
    <n v="3"/>
    <n v="1"/>
    <n v="1"/>
    <n v="1"/>
    <n v="1"/>
    <n v="4"/>
    <n v="3"/>
    <n v="1"/>
    <n v="1"/>
    <n v="4"/>
    <n v="1"/>
    <n v="2"/>
    <n v="2"/>
    <n v="2"/>
    <n v="4"/>
    <n v="4"/>
    <n v="4"/>
    <n v="2"/>
    <n v="2"/>
    <n v="3.25"/>
    <n v="3.75"/>
    <n v="4.75"/>
    <x v="1"/>
    <n v="3.5"/>
    <x v="8"/>
    <n v="3.5"/>
    <x v="5"/>
    <n v="1.25"/>
    <n v="3.5"/>
    <n v="2.5"/>
    <n v="1.75"/>
    <x v="8"/>
    <n v="4"/>
    <n v="2.75"/>
    <n v="3"/>
    <x v="4"/>
    <x v="2"/>
    <n v="2.75"/>
    <n v="3.5"/>
    <n v="4"/>
    <x v="10"/>
    <n v="3"/>
    <n v="3.25"/>
    <n v="4"/>
    <n v="5"/>
    <n v="5"/>
    <n v="5"/>
    <x v="0"/>
    <n v="4.5"/>
  </r>
  <r>
    <n v="104"/>
    <d v="2023-07-07T11:43:29"/>
    <d v="2023-07-07T11:46:02"/>
    <s v="Consinto em participar no questionário e que os dados recolhidos sejam utilizados para os fins acima referidos."/>
    <s v="27"/>
    <s v="Feminino"/>
    <s v="Solteiro(a)"/>
    <s v="Não"/>
    <s v="Licenciatura (3-5 anos)"/>
    <s v="Ciências sociais"/>
    <s v="Trabalhador(a) por conta de outrem"/>
    <s v="Controlo de Gestão "/>
    <s v="Algumas vezes por semana"/>
    <s v="Dispositivos móveis (telemóvel, tablet);"/>
    <s v="Estratégia;Multiplayer;"/>
    <m/>
    <m/>
    <m/>
    <m/>
    <m/>
    <m/>
    <m/>
    <m/>
    <m/>
    <m/>
    <m/>
    <m/>
    <n v="1"/>
    <n v="0.2"/>
    <m/>
    <n v="1.05"/>
    <n v="0"/>
    <n v="1"/>
    <n v="6.6708940000000005"/>
    <n v="0"/>
    <n v="0"/>
    <m/>
    <m/>
    <n v="0"/>
    <n v="0.375"/>
    <n v="32.357279999999996"/>
    <n v="0.23499999999999999"/>
    <m/>
    <m/>
    <m/>
    <m/>
    <n v="0"/>
    <m/>
    <m/>
    <m/>
    <m/>
    <m/>
    <m/>
    <n v="0"/>
    <n v="1"/>
    <n v="6.6338479999999995"/>
    <n v="0"/>
    <n v="0"/>
    <m/>
    <m/>
    <m/>
    <m/>
    <m/>
    <m/>
    <n v="0"/>
    <n v="1"/>
    <n v="10.473649999999999"/>
    <n v="0"/>
    <m/>
    <m/>
    <m/>
    <m/>
    <n v="0"/>
    <n v="1"/>
    <n v="11.338790000000001"/>
    <n v="0"/>
    <n v="0"/>
    <m/>
    <m/>
    <m/>
    <m/>
    <m/>
    <m/>
    <n v="0"/>
    <n v="1"/>
    <n v="17.946390000000001"/>
    <n v="4.2500000000000003E-2"/>
    <n v="0"/>
    <m/>
    <m/>
    <x v="1"/>
    <n v="0"/>
    <n v="0"/>
    <n v="0"/>
    <n v="0"/>
    <n v="0"/>
    <n v="8.3333333333333329E-2"/>
    <n v="0.23636363636363636"/>
    <n v="0"/>
    <n v="148"/>
    <n v="260"/>
    <n v="0"/>
    <m/>
    <m/>
    <m/>
    <m/>
    <m/>
    <m/>
    <x v="1"/>
    <n v="0"/>
    <m/>
    <n v="5"/>
    <n v="2"/>
    <n v="4"/>
    <n v="4"/>
    <n v="5"/>
    <n v="2"/>
    <n v="2"/>
    <n v="4"/>
    <n v="1"/>
    <n v="4"/>
    <n v="2"/>
    <n v="5"/>
    <n v="5"/>
    <n v="5"/>
    <n v="5"/>
    <n v="4"/>
    <n v="5"/>
    <n v="4"/>
    <n v="2"/>
    <n v="5"/>
    <n v="1"/>
    <n v="5"/>
    <n v="3"/>
    <n v="4"/>
    <n v="4"/>
    <n v="4"/>
    <n v="3"/>
    <n v="3"/>
    <n v="3"/>
    <n v="1"/>
    <n v="5"/>
    <n v="4"/>
    <n v="2"/>
    <n v="4"/>
    <n v="5"/>
    <n v="2"/>
    <n v="1"/>
    <n v="5"/>
    <n v="1"/>
    <n v="1"/>
    <n v="1"/>
    <n v="4"/>
    <n v="5"/>
    <n v="5"/>
    <n v="5"/>
    <n v="5"/>
    <n v="5"/>
    <n v="5"/>
    <n v="1"/>
    <n v="5"/>
    <n v="4"/>
    <n v="2"/>
    <n v="2"/>
    <n v="5"/>
    <n v="5"/>
    <n v="2"/>
    <n v="3"/>
    <n v="5"/>
    <n v="5"/>
    <n v="1"/>
    <n v="5"/>
    <n v="5"/>
    <n v="5"/>
    <n v="4"/>
    <n v="4"/>
    <n v="2"/>
    <n v="2"/>
    <n v="4"/>
    <n v="4"/>
    <n v="1"/>
    <n v="4"/>
    <n v="4"/>
    <n v="4"/>
    <n v="2"/>
    <n v="2"/>
    <n v="1"/>
    <n v="4"/>
    <n v="2"/>
    <n v="4"/>
    <n v="1"/>
    <n v="1"/>
    <n v="2"/>
    <n v="1"/>
    <n v="2"/>
    <n v="5"/>
    <n v="2"/>
    <n v="2"/>
    <n v="3"/>
    <n v="2"/>
    <n v="2"/>
    <n v="2"/>
    <n v="2"/>
    <n v="4"/>
    <n v="4"/>
    <n v="2"/>
    <n v="4"/>
    <n v="2"/>
    <n v="4"/>
    <n v="2"/>
    <n v="1"/>
    <n v="1"/>
    <n v="5"/>
    <n v="2"/>
    <n v="1"/>
    <n v="1"/>
    <n v="1"/>
    <n v="2"/>
    <n v="2"/>
    <n v="3"/>
    <n v="1"/>
    <n v="1"/>
    <n v="2"/>
    <n v="1"/>
    <n v="2"/>
    <n v="2"/>
    <n v="2"/>
    <n v="4"/>
    <n v="5"/>
    <n v="4"/>
    <n v="4"/>
    <n v="1"/>
    <n v="4.5"/>
    <n v="4"/>
    <n v="5"/>
    <x v="9"/>
    <n v="4.25"/>
    <x v="7"/>
    <n v="4.25"/>
    <x v="1"/>
    <n v="2"/>
    <n v="4.25"/>
    <n v="2.75"/>
    <n v="2.5"/>
    <x v="14"/>
    <n v="2.25"/>
    <n v="4.25"/>
    <n v="4"/>
    <x v="3"/>
    <x v="8"/>
    <n v="3.75"/>
    <n v="3.75"/>
    <n v="4.75"/>
    <x v="8"/>
    <n v="3.75"/>
    <n v="3.5"/>
    <n v="4"/>
    <n v="5"/>
    <n v="4.75"/>
    <n v="4.75"/>
    <x v="4"/>
    <n v="3.5"/>
  </r>
  <r>
    <n v="105"/>
    <d v="2023-06-19T14:30:56"/>
    <m/>
    <m/>
    <m/>
    <m/>
    <m/>
    <m/>
    <m/>
    <m/>
    <m/>
    <m/>
    <m/>
    <m/>
    <m/>
    <m/>
    <m/>
    <m/>
    <m/>
    <n v="1"/>
    <n v="0"/>
    <n v="2.6036640000000002"/>
    <n v="0"/>
    <n v="0"/>
    <n v="0"/>
    <n v="12.913020000000001"/>
    <n v="0"/>
    <m/>
    <m/>
    <m/>
    <m/>
    <n v="0"/>
    <n v="1"/>
    <n v="54.102640000000001"/>
    <n v="0"/>
    <n v="0"/>
    <m/>
    <m/>
    <n v="26"/>
    <n v="1"/>
    <n v="30.017189999999999"/>
    <n v="28.100000000000005"/>
    <n v="0"/>
    <n v="1"/>
    <n v="5.7726120000000005"/>
    <n v="0.1275"/>
    <n v="1"/>
    <n v="1"/>
    <n v="0"/>
    <n v="0"/>
    <n v="1"/>
    <n v="16.54982"/>
    <n v="0.6825"/>
    <m/>
    <m/>
    <m/>
    <m/>
    <n v="1"/>
    <n v="1"/>
    <n v="0"/>
    <n v="4"/>
    <n v="1"/>
    <n v="69.182140000000004"/>
    <n v="0"/>
    <m/>
    <m/>
    <m/>
    <m/>
    <m/>
    <m/>
    <m/>
    <m/>
    <n v="0"/>
    <n v="1"/>
    <n v="28.632840000000002"/>
    <n v="0"/>
    <n v="0"/>
    <n v="0"/>
    <m/>
    <m/>
    <m/>
    <m/>
    <m/>
    <m/>
    <m/>
    <m/>
    <m/>
    <m/>
    <m/>
    <m/>
    <x v="4"/>
    <n v="2"/>
    <n v="2"/>
    <n v="0.4"/>
    <n v="0"/>
    <n v="1"/>
    <n v="6.25E-2"/>
    <n v="0.15454545454545454"/>
    <n v="0"/>
    <n v="114"/>
    <n v="170"/>
    <n v="0"/>
    <m/>
    <m/>
    <m/>
    <m/>
    <m/>
    <m/>
    <x v="1"/>
    <n v="0"/>
    <s v="Nao preencheu pre-quest, pq participou no outro estudo"/>
    <n v="4"/>
    <n v="4"/>
    <n v="3"/>
    <n v="4"/>
    <n v="5"/>
    <n v="3"/>
    <n v="1"/>
    <n v="3"/>
    <n v="1"/>
    <n v="2"/>
    <n v="3"/>
    <n v="4"/>
    <n v="3"/>
    <n v="5"/>
    <n v="4"/>
    <n v="3"/>
    <n v="4"/>
    <n v="3"/>
    <n v="2"/>
    <n v="4"/>
    <n v="2"/>
    <n v="4"/>
    <n v="3"/>
    <n v="1"/>
    <n v="3"/>
    <n v="3"/>
    <n v="4"/>
    <n v="3"/>
    <n v="4"/>
    <n v="2"/>
    <n v="4"/>
    <n v="3"/>
    <n v="1"/>
    <n v="4"/>
    <n v="3"/>
    <n v="4"/>
    <n v="1"/>
    <n v="4"/>
    <n v="1"/>
    <n v="3"/>
    <n v="4"/>
    <n v="3"/>
    <n v="4"/>
    <n v="5"/>
    <n v="4"/>
    <n v="5"/>
    <n v="4"/>
    <n v="3"/>
    <n v="1"/>
    <n v="4"/>
    <n v="4"/>
    <n v="3"/>
    <n v="5"/>
    <n v="3"/>
    <n v="4"/>
    <n v="3"/>
    <n v="4"/>
    <n v="2"/>
    <n v="4"/>
    <n v="3"/>
    <n v="4"/>
    <n v="3"/>
    <n v="3"/>
    <n v="4"/>
    <n v="4"/>
    <n v="4"/>
    <n v="4"/>
    <n v="5"/>
    <s v="4 com a pergunta"/>
    <n v="1"/>
    <n v="4"/>
    <n v="4"/>
    <n v="3"/>
    <n v="3"/>
    <n v="1"/>
    <n v="1"/>
    <n v="2"/>
    <n v="4"/>
    <n v="4"/>
    <n v="2"/>
    <n v="1"/>
    <n v="3"/>
    <n v="3"/>
    <n v="4"/>
    <n v="2"/>
    <n v="3"/>
    <n v="4"/>
    <n v="5"/>
    <n v="2"/>
    <n v="1"/>
    <n v="3"/>
    <n v="4"/>
    <n v="3"/>
    <n v="2"/>
    <n v="4"/>
    <n v="4"/>
    <n v="2"/>
    <n v="5"/>
    <n v="5"/>
    <n v="1"/>
    <n v="1"/>
    <n v="2"/>
    <n v="2"/>
    <n v="1"/>
    <n v="2"/>
    <n v="2"/>
    <n v="1"/>
    <n v="4"/>
    <n v="3"/>
    <n v="2"/>
    <n v="2"/>
    <n v="3"/>
    <n v="1"/>
    <n v="4"/>
    <n v="2"/>
    <n v="4"/>
    <n v="1"/>
    <n v="4"/>
    <n v="3"/>
    <n v="2"/>
    <n v="2"/>
    <n v="4"/>
    <n v="3"/>
    <n v="4.25"/>
    <x v="5"/>
    <n v="3"/>
    <x v="4"/>
    <n v="4"/>
    <x v="12"/>
    <n v="3.75"/>
    <n v="3.75"/>
    <n v="2.5"/>
    <n v="3.75"/>
    <x v="9"/>
    <n v="1.25"/>
    <n v="3.5"/>
    <n v="3.5"/>
    <x v="2"/>
    <x v="1"/>
    <n v="2.25"/>
    <n v="2.25"/>
    <n v="3.75"/>
    <x v="7"/>
    <n v="2"/>
    <n v="3"/>
    <n v="3.5"/>
    <n v="5"/>
    <n v="4.75"/>
    <n v="4.25"/>
    <x v="3"/>
    <n v="4.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8AC1B6-D9DB-4F1B-89DC-674ECF94F25D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1">
  <location ref="A1:B16" firstHeaderRow="1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>
      <items count="10">
        <item x="0"/>
        <item x="2"/>
        <item x="1"/>
        <item x="3"/>
        <item x="4"/>
        <item x="5"/>
        <item x="8"/>
        <item x="6"/>
        <item x="7"/>
        <item t="default"/>
      </items>
    </pivotField>
    <pivotField showAll="0"/>
    <pivotField showAll="0"/>
    <pivotField showAll="0"/>
    <pivotField showAll="0"/>
    <pivotField showAll="0"/>
    <pivotField numFmtId="2" showAll="0"/>
    <pivotField numFmtId="2" showAll="0"/>
    <pivotField numFmtId="1" showAll="0"/>
    <pivotField numFmtId="1" showAll="0"/>
    <pivotField numFmtId="1"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13"/>
        <item x="0"/>
        <item x="11"/>
        <item x="12"/>
        <item x="6"/>
        <item x="5"/>
        <item x="1"/>
        <item x="4"/>
        <item x="8"/>
        <item x="2"/>
        <item x="10"/>
        <item x="3"/>
        <item x="7"/>
        <item x="9"/>
        <item t="default"/>
      </items>
    </pivotField>
    <pivotField showAll="0"/>
    <pivotField showAll="0">
      <items count="17">
        <item x="6"/>
        <item x="10"/>
        <item x="13"/>
        <item x="8"/>
        <item x="0"/>
        <item x="5"/>
        <item x="1"/>
        <item x="2"/>
        <item x="3"/>
        <item x="14"/>
        <item x="4"/>
        <item x="12"/>
        <item x="9"/>
        <item x="7"/>
        <item x="15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37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Average of TotalHardPaths" fld="90" subtotal="average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033D4C-D806-4E74-8B13-E734AC8782E1}" name="PivotTable5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A1:C17" firstHeaderRow="0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" showAll="0"/>
    <pivotField numFmtId="2" showAll="0"/>
    <pivotField dataField="1" numFmtId="1" showAll="0"/>
    <pivotField numFmtId="1" showAll="0"/>
    <pivotField numFmtId="1" showAll="0"/>
    <pivotField dataField="1"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6">
        <item x="0"/>
        <item x="4"/>
        <item x="14"/>
        <item x="3"/>
        <item x="8"/>
        <item x="7"/>
        <item x="10"/>
        <item x="5"/>
        <item x="11"/>
        <item x="2"/>
        <item x="1"/>
        <item x="12"/>
        <item x="13"/>
        <item x="6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53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AT01_diamonds" fld="98" subtotal="average" baseField="253" baseItem="0"/>
    <dataField name="Average of AT01_trophies" fld="101" subtotal="average" baseField="253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D3E582-FA57-4729-B145-D4B72DAD0C16}" name="PivotTable6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A1:E14" firstHeaderRow="0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2" showAll="0"/>
    <pivotField dataField="1" numFmtId="2" showAll="0"/>
    <pivotField dataField="1" numFmtId="1" showAll="0"/>
    <pivotField numFmtId="1" showAll="0"/>
    <pivotField numFmtId="1" showAll="0"/>
    <pivotField dataField="1"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4"/>
        <item x="0"/>
        <item x="3"/>
        <item x="11"/>
        <item x="10"/>
        <item x="7"/>
        <item x="8"/>
        <item x="1"/>
        <item x="5"/>
        <item x="2"/>
        <item x="6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35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Average of AT01_hardcoins" fld="96" subtotal="average" baseField="235" baseItem="0"/>
    <dataField name="Average of AT01_totalcoins" fld="97" subtotal="average" baseField="235" baseItem="0"/>
    <dataField name="Average of AT01_diamonds" fld="98" subtotal="average" baseField="235" baseItem="0"/>
    <dataField name="Average of AT01_trophies" fld="101" subtotal="average" baseField="235" baseItem="0"/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0ED3B1-F3A5-4DA2-AEE3-9E4D746B60DC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4">
  <location ref="A1:B4" firstHeaderRow="1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" showAll="0"/>
    <pivotField numFmtId="2" showAll="0"/>
    <pivotField numFmtId="1" showAll="0"/>
    <pivotField numFmtId="1" showAll="0"/>
    <pivotField numFmtId="1" showAll="0"/>
    <pivotField numFmtId="1" showAll="0"/>
    <pivotField showAll="0"/>
    <pivotField showAll="0"/>
    <pivotField showAll="0"/>
    <pivotField showAll="0"/>
    <pivotField showAll="0"/>
    <pivotField showAll="0"/>
    <pivotField axis="axisRow" dataField="1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08"/>
  </rowFields>
  <rowItems count="3">
    <i>
      <x/>
    </i>
    <i>
      <x v="1"/>
    </i>
    <i t="grand">
      <x/>
    </i>
  </rowItems>
  <colItems count="1">
    <i/>
  </colItems>
  <dataFields count="1">
    <dataField name="Count of 2Attempts" fld="108" subtotal="count" baseField="108" baseItem="0"/>
  </dataField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>
      <pivotArea type="data" outline="0" fieldPosition="0">
        <references count="2">
          <reference field="4294967294" count="1" selected="0">
            <x v="0"/>
          </reference>
          <reference field="108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108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520EBC-F133-420A-B119-3DB6A9630C77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A1:B18" firstHeaderRow="1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>
      <items count="10">
        <item x="0"/>
        <item x="2"/>
        <item x="1"/>
        <item x="3"/>
        <item x="4"/>
        <item x="5"/>
        <item x="8"/>
        <item x="6"/>
        <item x="7"/>
        <item t="default"/>
      </items>
    </pivotField>
    <pivotField showAll="0"/>
    <pivotField showAll="0"/>
    <pivotField showAll="0"/>
    <pivotField showAll="0"/>
    <pivotField showAll="0"/>
    <pivotField numFmtId="2" showAll="0"/>
    <pivotField numFmtId="2" showAll="0"/>
    <pivotField numFmtId="1" showAll="0"/>
    <pivotField numFmtId="1" showAll="0"/>
    <pivotField numFmtId="1"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7">
        <item x="6"/>
        <item x="10"/>
        <item x="13"/>
        <item x="8"/>
        <item x="0"/>
        <item x="5"/>
        <item x="1"/>
        <item x="2"/>
        <item x="3"/>
        <item x="14"/>
        <item x="4"/>
        <item x="12"/>
        <item x="9"/>
        <item x="7"/>
        <item x="15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39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dataFields count="1">
    <dataField name="Average of TotalHardPaths" fld="90" subtotal="average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539D4F-F696-48A1-BBAD-29F26AF730D9}" name="PivotTable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A1:B16" firstHeaderRow="1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numFmtId="2" showAll="0"/>
    <pivotField numFmtId="2" showAll="0"/>
    <pivotField numFmtId="1" showAll="0"/>
    <pivotField numFmtId="1" showAll="0"/>
    <pivotField numFmtId="1"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13"/>
        <item x="4"/>
        <item x="8"/>
        <item x="9"/>
        <item x="7"/>
        <item x="5"/>
        <item x="6"/>
        <item x="2"/>
        <item x="1"/>
        <item x="3"/>
        <item x="10"/>
        <item x="0"/>
        <item x="12"/>
        <item x="11"/>
        <item t="default"/>
      </items>
    </pivotField>
    <pivotField showAll="0"/>
  </pivotFields>
  <rowFields count="1">
    <field x="26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Average of TotalHardPaths" fld="90" subtotal="average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726B4E-90C9-4380-9D1F-7DC1B244B9EE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A1:B16" firstHeaderRow="1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numFmtId="2" showAll="0"/>
    <pivotField numFmtId="2" showAll="0"/>
    <pivotField numFmtId="1" showAll="0"/>
    <pivotField numFmtId="1" showAll="0"/>
    <pivotField numFmtId="1"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13"/>
        <item x="0"/>
        <item x="11"/>
        <item x="12"/>
        <item x="6"/>
        <item x="5"/>
        <item x="1"/>
        <item x="4"/>
        <item x="8"/>
        <item x="2"/>
        <item x="10"/>
        <item x="3"/>
        <item x="7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37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Average of GaveUpHardPath1x" fld="91" subtotal="average" baseField="237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EFC9F4-8CE1-4621-952A-FC9F13A4CEEF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9">
  <location ref="A1:B16" firstHeaderRow="1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numFmtId="2" showAll="0"/>
    <pivotField numFmtId="2" showAll="0"/>
    <pivotField numFmtId="1" showAll="0"/>
    <pivotField numFmtId="1" showAll="0"/>
    <pivotField numFmtId="1"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5">
        <item x="13"/>
        <item x="0"/>
        <item x="11"/>
        <item x="12"/>
        <item x="6"/>
        <item x="5"/>
        <item x="1"/>
        <item x="4"/>
        <item x="8"/>
        <item x="2"/>
        <item x="10"/>
        <item x="3"/>
        <item x="7"/>
        <item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37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TotalTrapsRisked2" fld="93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326AE0-D5F3-4CBA-B06D-C742E9B1A794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8">
  <location ref="A1:C18" firstHeaderRow="0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" showAll="0"/>
    <pivotField numFmtId="2" showAll="0"/>
    <pivotField dataField="1" numFmtId="1" showAll="0"/>
    <pivotField numFmtId="1" showAll="0"/>
    <pivotField numFmtId="1" showAll="0"/>
    <pivotField dataField="1"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7">
        <item x="6"/>
        <item x="10"/>
        <item x="13"/>
        <item x="8"/>
        <item x="0"/>
        <item x="5"/>
        <item x="1"/>
        <item x="2"/>
        <item x="3"/>
        <item x="14"/>
        <item x="4"/>
        <item x="12"/>
        <item x="9"/>
        <item x="7"/>
        <item x="15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39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AT01_trophies" fld="101" subtotal="average" baseField="98" baseItem="0"/>
    <dataField name="Average of AT01_diamonds" fld="98" subtotal="average" baseField="239" baseItem="0"/>
  </dataFields>
  <chartFormats count="2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AE15D1-EC4E-4CE6-9A65-47CE103633DD}" name="PivotTable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A1:B17" firstHeaderRow="1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" showAll="0"/>
    <pivotField numFmtId="2" showAll="0"/>
    <pivotField numFmtId="1" showAll="0"/>
    <pivotField numFmtId="1" showAll="0"/>
    <pivotField numFmtId="1" showAll="0"/>
    <pivotField dataField="1"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6">
        <item x="13"/>
        <item x="0"/>
        <item x="12"/>
        <item x="14"/>
        <item x="10"/>
        <item x="3"/>
        <item x="2"/>
        <item x="9"/>
        <item x="4"/>
        <item x="6"/>
        <item x="1"/>
        <item x="7"/>
        <item x="5"/>
        <item x="8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4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Average of AT01_trophies" fld="101" subtotal="average" baseField="244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746CF0-E3DF-418E-9CD4-159323F1F72A}" name="PivotTable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5">
  <location ref="A1:E14" firstHeaderRow="0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2" showAll="0"/>
    <pivotField dataField="1" numFmtId="2" showAll="0"/>
    <pivotField dataField="1" numFmtId="1" showAll="0"/>
    <pivotField numFmtId="1" showAll="0"/>
    <pivotField numFmtId="1" showAll="0"/>
    <pivotField dataField="1"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0"/>
        <item x="10"/>
        <item x="9"/>
        <item x="3"/>
        <item x="4"/>
        <item x="2"/>
        <item x="7"/>
        <item x="6"/>
        <item x="8"/>
        <item x="5"/>
        <item x="1"/>
        <item x="1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48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AT01_trophies" fld="101" baseField="0" baseItem="0"/>
    <dataField name="Sum of AT01_diamonds" fld="98" baseField="0" baseItem="0"/>
    <dataField name="Sum of AT01_totalcoins" fld="97" baseField="0" baseItem="0"/>
    <dataField name="Sum of AT01_hardcoins" fld="96" baseField="0" baseItem="0"/>
  </dataFields>
  <chartFormats count="4">
    <chartFormat chart="0" format="17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20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442677-10D3-4EC4-8043-F2B592001F12}" name="PivotTable4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6">
  <location ref="A1:C15" firstHeaderRow="0" firstDataRow="1" firstDataCol="1"/>
  <pivotFields count="262">
    <pivotField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2" showAll="0"/>
    <pivotField numFmtId="2" showAll="0"/>
    <pivotField numFmtId="1" showAll="0"/>
    <pivotField numFmtId="1" showAll="0"/>
    <pivotField numFmtId="1" showAll="0"/>
    <pivotField dataField="1" numFmtI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4">
        <item x="4"/>
        <item x="9"/>
        <item x="5"/>
        <item x="0"/>
        <item x="11"/>
        <item x="10"/>
        <item x="8"/>
        <item x="7"/>
        <item x="2"/>
        <item x="1"/>
        <item x="3"/>
        <item x="6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49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AT02_diamonds" fld="104" baseField="0" baseItem="0"/>
    <dataField name="Sum of AT01_trophies" fld="101" baseField="0" baseItem="0"/>
  </dataFields>
  <chartFormats count="2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D06A72E-C596-482C-AA66-76F569BF2380}" name="Table1" displayName="Table1" ref="A1:IZ101" totalsRowShown="0" dataDxfId="0" dataCellStyle="Normal">
  <autoFilter ref="A1:IZ101" xr:uid="{00000000-0009-0000-0100-000001000000}"/>
  <tableColumns count="260">
    <tableColumn id="1" xr3:uid="{136D3D56-4A00-4669-9D34-7E5F61A63E4F}" name="ID" dataDxfId="260" dataCellStyle="Normal"/>
    <tableColumn id="264" xr3:uid="{E8D19858-6C19-453C-B18B-B4F530866D5B}" name="We played for them" dataDxfId="259" dataCellStyle="Normal"/>
    <tableColumn id="9" xr3:uid="{0EDC02BA-2AA1-4B6C-B68E-D8B6E67D0F53}" name="2) Idade" dataDxfId="258" dataCellStyle="Normal"/>
    <tableColumn id="10" xr3:uid="{5D862310-A5DB-4899-ACAF-AD05E74253E8}" name="3) Género" dataDxfId="257" dataCellStyle="Normal"/>
    <tableColumn id="11" xr3:uid="{6223EEAF-55F2-4B3B-A5DC-E22ED087304E}" name="4) Estado civil" dataDxfId="256" dataCellStyle="Normal"/>
    <tableColumn id="12" xr3:uid="{6C95611B-51A7-4AE1-9ECA-E9457D8D34B6}" name="5) Tem filhos?" dataDxfId="255" dataCellStyle="Normal"/>
    <tableColumn id="13" xr3:uid="{66584337-C3F1-42B4-A632-F436BA33E0E0}" name="6) Nível educacional" dataDxfId="254" dataCellStyle="Normal"/>
    <tableColumn id="14" xr3:uid="{1D955A69-AB69-4654-9D42-43A28C503ED8}" name="7) Área de formação principal" dataDxfId="253" dataCellStyle="Normal"/>
    <tableColumn id="15" xr3:uid="{5A9B79E1-FF71-4759-BFB9-09B814D3CC01}" name="8) Situação profissional" dataDxfId="252" dataCellStyle="Normal"/>
    <tableColumn id="16" xr3:uid="{EFA30030-2A79-469D-BEF9-FFEC7C710914}" name="9) Qual a sua profissão?" dataDxfId="251" dataCellStyle="Normal"/>
    <tableColumn id="17" xr3:uid="{AEDC18AD-95E1-4727-BA3C-580AE736E3B0}" name="10) Quão frequentemente joga em dispositivos móveis?" dataDxfId="250" dataCellStyle="Normal"/>
    <tableColumn id="18" xr3:uid="{C94C02A8-FE5A-4B6C-9D7F-0306431870E1}" name="11) Indique as plataformas em que mais costuma jogar" dataDxfId="249" dataCellStyle="Normal"/>
    <tableColumn id="19" xr3:uid="{99598356-47B2-49E5-96C1-7A9BC5386EB4}" name="12) Que tipo de videojogos prefere?" dataDxfId="248" dataCellStyle="Normal"/>
    <tableColumn id="6" xr3:uid="{D626D979-03B7-408C-981A-48BEE6A48205}" name="MS01_HP_deaths" dataDxfId="247" dataCellStyle="Normal"/>
    <tableColumn id="21" xr3:uid="{27EC7E0C-BD97-4BBF-B69D-555AA0404889}" name="MS01_HP_coins" dataDxfId="246" dataCellStyle="Normal"/>
    <tableColumn id="23" xr3:uid="{A663232A-773B-4C3B-8DA7-B67BC9D8DD87}" name="MS01_HP_duration" dataDxfId="245" dataCellStyle="Normal"/>
    <tableColumn id="95" xr3:uid="{1B2E4474-0B18-47DD-9F0E-337F657B3649}" name="MS01_HP_healthLost" dataDxfId="244" dataCellStyle="Normal"/>
    <tableColumn id="22" xr3:uid="{38F325E6-FCB7-475B-9A36-07943CF7F559}" name="MS01_EP_coins" dataDxfId="243" dataCellStyle="Normal"/>
    <tableColumn id="20" xr3:uid="{EEF96990-FD21-49DB-AB51-493FD9C9828B}" name="MS01_EP_deaths" dataDxfId="242" dataCellStyle="Normal"/>
    <tableColumn id="24" xr3:uid="{3AB2D77F-C908-4BFA-81E5-D3FC2B1DC147}" name="MS01_EP_duration" dataDxfId="241" dataCellStyle="Normal"/>
    <tableColumn id="96" xr3:uid="{899D42CC-A4A6-499A-9974-3E26200D736D}" name="MS01_EP_healthLost" dataDxfId="240" dataCellStyle="Normal"/>
    <tableColumn id="25" xr3:uid="{076E942F-0EAF-4C04-A6E4-D2B777DF2558}" name="MS02_deaths" dataDxfId="239" dataCellStyle="Normal"/>
    <tableColumn id="27" xr3:uid="{A25F4690-550C-4EF8-99BC-9DE4AB9843D0}" name="MS02_coins" dataDxfId="238" dataCellStyle="Normal"/>
    <tableColumn id="29" xr3:uid="{F10C7DF4-A6EE-4A70-AF53-9A7610A9F504}" name="MS02_duration" dataDxfId="237" dataCellStyle="Normal"/>
    <tableColumn id="109" xr3:uid="{0503C9CF-BC8E-4421-ADCF-F470A4DEB560}" name="MS02_healthLost" dataDxfId="236" dataCellStyle="Normal"/>
    <tableColumn id="31" xr3:uid="{531FAAF0-D82E-4193-9E1F-24374D52993C}" name="MS03_HP_deaths" dataDxfId="235" dataCellStyle="Normal"/>
    <tableColumn id="33" xr3:uid="{A887212D-8139-4ECD-99F1-5FDB6DA46737}" name="MS03_HP_coins" dataDxfId="234" dataCellStyle="Normal"/>
    <tableColumn id="35" xr3:uid="{021A2AA4-FD21-4BF8-9CF0-FE90811F8EEB}" name="MS03_HP_duration" dataDxfId="233" dataCellStyle="Normal"/>
    <tableColumn id="97" xr3:uid="{85B7D8D6-043D-48B3-8678-151431B6D76D}" name="MS03_HP_healthLost" dataDxfId="232" dataCellStyle="Normal"/>
    <tableColumn id="32" xr3:uid="{6886F55D-D15D-4AD9-831E-5C3D32CF8533}" name="MS03_EP_deaths" dataDxfId="231" dataCellStyle="Normal"/>
    <tableColumn id="34" xr3:uid="{ED05346E-EC28-45CB-A86E-4431B48E7223}" name="MS03_EP_coins" dataDxfId="230" dataCellStyle="Normal"/>
    <tableColumn id="36" xr3:uid="{54052154-16BD-42F0-A7F1-1FEFBCFE185A}" name="MS03_EP_duration" dataDxfId="229" dataCellStyle="Normal"/>
    <tableColumn id="98" xr3:uid="{D5A9D650-7F3D-4A6E-BA0D-EEF512A3F3FB}" name="MS03_EP_healthLost" dataDxfId="228" dataCellStyle="Normal"/>
    <tableColumn id="37" xr3:uid="{B7D12BCD-11E4-4F5C-8363-815D0ED95866}" name="MS03_trap_attempts" dataDxfId="227" dataCellStyle="Normal"/>
    <tableColumn id="38" xr3:uid="{9D166161-3569-4ABF-9745-25BC66C3426D}" name="MS03_trap_deaths" dataDxfId="226" dataCellStyle="Normal"/>
    <tableColumn id="39" xr3:uid="{DB8D4741-328D-41AF-88AF-E6C054CC981F}" name="MS03_trap_coins" dataDxfId="225" dataCellStyle="Normal"/>
    <tableColumn id="40" xr3:uid="{74ECBAE0-C53E-4E69-950B-F9C28CAEAF2A}" name="MS04_HP_deaths" dataDxfId="224" dataCellStyle="Normal"/>
    <tableColumn id="42" xr3:uid="{4F15FB54-4ABD-453A-9950-4D2F012EE932}" name="MS04_HP_coins" dataDxfId="223" dataCellStyle="Normal"/>
    <tableColumn id="44" xr3:uid="{EE8AF1DC-7E21-4FE7-8EDE-62C9B79FDB32}" name="MS04_HP_duration" dataDxfId="222" dataCellStyle="Normal"/>
    <tableColumn id="99" xr3:uid="{3A39405C-258D-4CBF-817E-BDBEB78AFF2D}" name="MS04_HP_healthLost" dataDxfId="221" dataCellStyle="Normal"/>
    <tableColumn id="41" xr3:uid="{C95599A5-18B5-4C99-B39D-1D2756658CF8}" name="MS04_EP_deaths" dataDxfId="220" dataCellStyle="Normal"/>
    <tableColumn id="43" xr3:uid="{226A1D5F-7580-4437-A129-B8B27674C86B}" name="MS04_EP_coins" dataDxfId="219" dataCellStyle="Normal"/>
    <tableColumn id="45" xr3:uid="{AD228FF0-034D-4973-ACBE-F2542586E4D6}" name="MS04_EP_duration" dataDxfId="218" dataCellStyle="Normal"/>
    <tableColumn id="100" xr3:uid="{40B3B403-D30F-45AD-9D59-CBCCB0283DB0}" name="MS04_EP_healthLost" dataDxfId="217" dataCellStyle="Normal"/>
    <tableColumn id="46" xr3:uid="{89A8FC1C-541C-4E6B-A7CD-D41072562926}" name="MS04_trap_attempts" dataDxfId="216" dataCellStyle="Normal"/>
    <tableColumn id="47" xr3:uid="{F771C25A-6AC6-4F57-87C0-D5046E13EBAD}" name="MS04_trap_deaths" dataDxfId="215" dataCellStyle="Normal"/>
    <tableColumn id="48" xr3:uid="{1385B3B5-E946-44FF-B408-4A6B17A49CFB}" name="MS04_trap_coins" dataDxfId="214" dataCellStyle="Normal"/>
    <tableColumn id="65" xr3:uid="{C34C5F57-33F5-4004-87C5-9D7F7B2039D3}" name="MS05_HP_deaths" dataDxfId="213" dataCellStyle="Normal"/>
    <tableColumn id="50" xr3:uid="{D4FDBCFC-D393-40F4-B54D-F828283B54FC}" name="MS05_HP_coins" dataDxfId="212" dataCellStyle="Normal"/>
    <tableColumn id="52" xr3:uid="{B0F7EB13-E8D0-4E48-A307-785BB1FD672A}" name="MS05_HP_duration" dataDxfId="211" dataCellStyle="Normal"/>
    <tableColumn id="101" xr3:uid="{3CE04192-F81B-4736-9240-29AD8EDD98DF}" name="MS05_HP_healthLost" dataDxfId="210" dataCellStyle="Normal"/>
    <tableColumn id="49" xr3:uid="{3D84D7A5-59D0-47D8-AF99-FA09FDE0BBE3}" name="MS05_EP_deaths" dataDxfId="209" dataCellStyle="Normal"/>
    <tableColumn id="51" xr3:uid="{3AEFFF55-0379-4C4F-A109-3E7D423398E6}" name="MS05_EP_coins" dataDxfId="208" dataCellStyle="Normal"/>
    <tableColumn id="53" xr3:uid="{623ECC50-5681-47FE-90F2-72659F32D938}" name="MS05_EP_duration" dataDxfId="207" dataCellStyle="Normal"/>
    <tableColumn id="102" xr3:uid="{91545C7E-B8B6-4199-9CCC-E1EF2AC1E4E0}" name="MS05_EP_healthLost" dataDxfId="206" dataCellStyle="Normal"/>
    <tableColumn id="54" xr3:uid="{557013CC-BA24-46A3-95D1-55D5476D0980}" name="MS05_trap_attempts" dataDxfId="205" dataCellStyle="Normal"/>
    <tableColumn id="55" xr3:uid="{3192EBCD-8B28-46B1-A2DC-A3E32D9AC77D}" name="MS05_trap_deaths" dataDxfId="204" dataCellStyle="Normal"/>
    <tableColumn id="56" xr3:uid="{D13E578C-82A7-424C-94FB-2097C13BBFAC}" name="MS05_trap_coins" dataDxfId="203" dataCellStyle="Normal"/>
    <tableColumn id="66" xr3:uid="{87210C41-D12C-4940-ABED-234F4F20BA84}" name="MS06_HP_deaths" dataDxfId="202" dataCellStyle="Normal"/>
    <tableColumn id="58" xr3:uid="{2654C3E6-9C08-42FF-B623-B97ECB6D14F5}" name="MS06_HP_coins" dataDxfId="201" dataCellStyle="Normal"/>
    <tableColumn id="60" xr3:uid="{F753A9F2-8D06-4173-86F9-32F92970C849}" name="MS06_HP_duration" dataDxfId="200" dataCellStyle="Normal"/>
    <tableColumn id="103" xr3:uid="{D91A30B2-7DB7-4EB2-862B-9C50C1DD63B7}" name="MS06_HP_healthLost" dataDxfId="199" dataCellStyle="Normal"/>
    <tableColumn id="57" xr3:uid="{A30A8DEF-C363-4710-9CB9-0AF972D4E979}" name="MS06_EP_deaths" dataDxfId="198" dataCellStyle="Normal"/>
    <tableColumn id="59" xr3:uid="{76EE5406-F828-477B-8DA9-2CEF66BF1697}" name="MS06_EP_coins" dataDxfId="197" dataCellStyle="Normal"/>
    <tableColumn id="61" xr3:uid="{73613F75-48BD-4FF5-9954-EF6A9AC4385A}" name="MS06_EP_duration" dataDxfId="196" dataCellStyle="Normal"/>
    <tableColumn id="104" xr3:uid="{0101F170-259D-43AE-B24E-1F578133BF76}" name="MS06_EP_healthLost" dataDxfId="195" dataCellStyle="Normal"/>
    <tableColumn id="62" xr3:uid="{B3D57C7C-566B-4A15-8DEB-1BF7593E7D1D}" name="MS07_HP_deaths" dataDxfId="194" dataCellStyle="Normal"/>
    <tableColumn id="64" xr3:uid="{874AF583-9BB2-4D99-98FF-6C06C8C1D8B2}" name="MS07_HP_coins" dataDxfId="193" dataCellStyle="Normal"/>
    <tableColumn id="68" xr3:uid="{3E08FCF7-A693-4AE0-B603-7B43270A530F}" name="MS07_HP_duration" dataDxfId="192" dataCellStyle="Normal"/>
    <tableColumn id="105" xr3:uid="{0C0952E1-AB4F-442F-87B5-EF514EC73595}" name="MS07_HP_healthLost" dataDxfId="191" dataCellStyle="Normal"/>
    <tableColumn id="63" xr3:uid="{DBFEC908-3FFB-410A-B4A9-F1AC91FA27EB}" name="MS07_EP_deaths" dataDxfId="190" dataCellStyle="Normal"/>
    <tableColumn id="67" xr3:uid="{640E1392-DC44-418F-9F76-07A05C13E8D5}" name="MS07_EP_coins" dataDxfId="189" dataCellStyle="Normal"/>
    <tableColumn id="69" xr3:uid="{7DD40DBD-55A2-4525-9061-16C93C94833D}" name="MS07_EP_duration" dataDxfId="188" dataCellStyle="Normal"/>
    <tableColumn id="106" xr3:uid="{6A5B7274-DDE9-4408-A8A1-5B442931C7C7}" name="MS07_EP_healthLost" dataDxfId="187" dataCellStyle="Normal"/>
    <tableColumn id="70" xr3:uid="{9AB19426-FEFB-4B28-A70C-680C490F670B}" name="MS07_trap_attempts" dataDxfId="186" dataCellStyle="Normal"/>
    <tableColumn id="71" xr3:uid="{B536434D-C34F-483F-A94C-512722FBD43C}" name="MS07_trap_deaths" dataDxfId="185" dataCellStyle="Normal"/>
    <tableColumn id="72" xr3:uid="{E262C561-2EF2-4DF7-B756-F69E1E087AF9}" name="MS07_trap_coins" dataDxfId="184" dataCellStyle="Normal"/>
    <tableColumn id="73" xr3:uid="{4D6F1062-EAB0-4685-8A43-4B86AE0F3387}" name="MS08_HP_deaths" dataDxfId="183" dataCellStyle="Normal"/>
    <tableColumn id="75" xr3:uid="{BE212201-DE2E-41D0-AEBC-801BB4B54F75}" name="MS08_HP_coins" dataDxfId="182" dataCellStyle="Normal"/>
    <tableColumn id="77" xr3:uid="{68B2A35D-9D6B-4567-9E32-AC86AC63F120}" name="MS08_HP_duration" dataDxfId="181" dataCellStyle="Normal"/>
    <tableColumn id="107" xr3:uid="{91BD3981-1D55-441E-AE93-B821031B8AA9}" name="MS08_HP_healthLost" dataDxfId="180" dataCellStyle="Normal"/>
    <tableColumn id="74" xr3:uid="{475DFC46-CC55-45F8-B400-E1FF87697358}" name="MS08_EP_deaths" dataDxfId="179" dataCellStyle="Normal"/>
    <tableColumn id="76" xr3:uid="{ABFDE4FE-F1B4-449E-98F7-10FB1D5B8C2C}" name="MS08_EP_coins" dataDxfId="178" dataCellStyle="Normal"/>
    <tableColumn id="78" xr3:uid="{8DDC8F70-17BC-40E7-B37B-CD6067221071}" name="MS08_EP_duration" dataDxfId="177" dataCellStyle="Normal"/>
    <tableColumn id="108" xr3:uid="{08941DC0-6DFE-42B2-90D2-5414C216B751}" name="MS08_EP_healthLost" dataDxfId="176" dataCellStyle="Normal"/>
    <tableColumn id="79" xr3:uid="{4D0883F8-8330-432C-B962-286E55158FA0}" name="MS08_trap_attempts" dataDxfId="175" dataCellStyle="Normal"/>
    <tableColumn id="80" xr3:uid="{F57493E0-3BCA-434D-89EC-DD80E6833B51}" name="MS08_trap_deaths" dataDxfId="174" dataCellStyle="Normal"/>
    <tableColumn id="81" xr3:uid="{27889687-A866-4586-B923-080B8FF58F01}" name="MS08_trap_coins" dataDxfId="173" dataCellStyle="Normal"/>
    <tableColumn id="8" xr3:uid="{01F4ACB6-8895-41C1-BC18-041B59B7DD95}" name="WW_TotalTime" dataDxfId="172" dataCellStyle="Normal">
      <calculatedColumnFormula>SUM(P2,T2,X2,AB2,AF2,AM2,AQ2,AX2,BB2,BI2,BM2,BQ2,BU2,CB2,CF2)</calculatedColumnFormula>
    </tableColumn>
    <tableColumn id="228" xr3:uid="{693DC5D2-1AAF-4330-A56C-859BDB521538}" name="TotalHardPaths" dataDxfId="171" dataCellStyle="Normal"/>
    <tableColumn id="232" xr3:uid="{BCAA4735-9527-4329-8B40-18CCBE8092E7}" name="GaveUpHardPath1x" dataDxfId="170" dataCellStyle="Normal"/>
    <tableColumn id="229" xr3:uid="{F575F77E-8C0C-4A03-A5EE-2DA3330C49CF}" name="TotalTrapsRisked" dataDxfId="169" dataCellStyle="Normal"/>
    <tableColumn id="227" xr3:uid="{F99E1B53-635F-4D3F-BB0A-F7E9414E4D21}" name="TotalTrapsRisked2" dataDxfId="168" dataCellStyle="Normal"/>
    <tableColumn id="231" xr3:uid="{A3DE3BD6-216D-4372-BE49-CCF75B3A3219}" name="Traps2xAttempts" dataDxfId="167" dataCellStyle="Normal"/>
    <tableColumn id="230" xr3:uid="{49C07FB4-394D-4C92-9E30-BE40F86E4666}" name="ExploredMS1" dataDxfId="166" dataCellStyle="Normal"/>
    <tableColumn id="82" xr3:uid="{F962E8BB-43FF-440F-8E78-1BA6218FE71B}" name="AT01_hardcoins" dataDxfId="165" dataCellStyle="Normal"/>
    <tableColumn id="83" xr3:uid="{12B1A927-FC03-4B12-86F1-1AB73967B7E3}" name="AT01_totalcoins" dataDxfId="164" dataCellStyle="Normal"/>
    <tableColumn id="84" xr3:uid="{8871D1B5-7A3A-4F15-9B46-A74D6D084C6C}" name="AT01_diamonds" dataDxfId="163" dataCellStyle="Normal"/>
    <tableColumn id="85" xr3:uid="{739A4FC0-3E19-4B9A-A1FC-14FB86B4753A}" name="AT01_time" dataDxfId="162" dataCellStyle="Normal"/>
    <tableColumn id="86" xr3:uid="{0239F0F3-6306-42D0-97E1-9C5D73F78CBF}" name="AT01_score" dataDxfId="161" dataCellStyle="Normal"/>
    <tableColumn id="87" xr3:uid="{C845D988-2B2C-431B-847B-78B7F27E3245}" name="AT01_trophies" dataDxfId="160" dataCellStyle="Normal"/>
    <tableColumn id="88" xr3:uid="{0821F624-7B65-4C30-88AC-91A7453FB8EB}" name="AT02_hardcoins" dataDxfId="159" dataCellStyle="Normal"/>
    <tableColumn id="89" xr3:uid="{64130A7A-2A8F-4BD3-A3CB-BCE5D970BCCC}" name="AT02_totalcoins" dataDxfId="158" dataCellStyle="Normal"/>
    <tableColumn id="90" xr3:uid="{45FBF2CF-303A-47B5-8C69-76DB6A136469}" name="AT02_diamonds" dataDxfId="157" dataCellStyle="Normal"/>
    <tableColumn id="91" xr3:uid="{DE816981-9724-47AA-8934-F3F3CCE55280}" name="AT02_time" dataDxfId="156" dataCellStyle="Normal"/>
    <tableColumn id="92" xr3:uid="{18CAFF2E-942D-4031-814D-E5733F82D2DB}" name="AT02_score" dataDxfId="155" dataCellStyle="Normal"/>
    <tableColumn id="93" xr3:uid="{99823F39-9EB4-43F7-B55E-2055E71E7994}" name="AT02_trophies" dataDxfId="154" dataCellStyle="Normal"/>
    <tableColumn id="263" xr3:uid="{6BB7947D-546F-4E53-8CDC-C35E43E2CAF5}" name="2Attempts" dataDxfId="153" dataCellStyle="Normal"/>
    <tableColumn id="94" xr3:uid="{199E6972-2C33-4264-A4FE-0D95C782FD54}" name="TT_insistedHardly" dataDxfId="152" dataCellStyle="Normal"/>
    <tableColumn id="5" xr3:uid="{B94D1990-3606-4EFD-830F-3DD5579B0D0E}" name="1) Preocupo-me com as coisas." dataDxfId="151" dataCellStyle="Normal"/>
    <tableColumn id="26" xr3:uid="{FA684B17-C673-422D-A97C-97363353AC9E}" name="2) Faço amizades facilmente." dataDxfId="150" dataCellStyle="Normal"/>
    <tableColumn id="28" xr3:uid="{67494845-A751-493C-BE3B-A44FD3314396}" name="3) Tenho uma imaginação vívida" dataDxfId="149" dataCellStyle="Normal"/>
    <tableColumn id="30" xr3:uid="{579B2EFF-C789-434F-862C-3335993A69E4}" name="4) Confio nos outros" dataDxfId="148" dataCellStyle="Normal"/>
    <tableColumn id="110" xr3:uid="{1F84E9EB-1331-4F1A-834C-C6C3C31E14BC}" name="5) Completo tarefas com sucesso." dataDxfId="147" dataCellStyle="Normal"/>
    <tableColumn id="111" xr3:uid="{0675959A-EFE7-4F04-A136-3C017EBCAFE0}" name="6) Zango-me com facilidade" dataDxfId="146" dataCellStyle="Normal"/>
    <tableColumn id="112" xr3:uid="{2148E4AD-633A-4A86-ADD9-0179B315615C}" name="7) Adoro grandes festas." dataDxfId="145" dataCellStyle="Normal"/>
    <tableColumn id="113" xr3:uid="{33C5DA98-366B-4680-B0ED-3120FE69E8D8}" name="8) Acredito na importância da arte" dataDxfId="144" dataCellStyle="Normal"/>
    <tableColumn id="114" xr3:uid="{099B8B8D-5428-489D-9A39-34E8B8DD373F}" name="9) Uso os outros para os meus próprios fins." dataDxfId="143" dataCellStyle="Normal"/>
    <tableColumn id="115" xr3:uid="{38FBDCE4-7A20-4CBD-BA42-316F84A567B1}" name="10) Gosto de arrumar." dataDxfId="142" dataCellStyle="Normal"/>
    <tableColumn id="116" xr3:uid="{893F0F03-288F-46B1-93A6-5839A5E6A7C6}" name="11) Sinto-me triste frequentemente" dataDxfId="141" dataCellStyle="Normal"/>
    <tableColumn id="117" xr3:uid="{C1A1EA66-DA57-4263-8E6E-8BA438E6E2A8}" name="12) Encarrego-me da situação" dataDxfId="140" dataCellStyle="Normal"/>
    <tableColumn id="118" xr3:uid="{DDC828E0-AE96-4A53-A36C-740A248F6ED7}" name="13) Vivo as minhas emoções intensamente" dataDxfId="139" dataCellStyle="Normal"/>
    <tableColumn id="119" xr3:uid="{ACC37363-1EE2-4527-9DCD-95095ABC1B0D}" name="14) Adoro ajudar os outros" dataDxfId="138" dataCellStyle="Normal"/>
    <tableColumn id="120" xr3:uid="{8341868C-B64F-434B-BBF6-FB0EB03BBA77}" name="15) Cumpro as minhas promessas" dataDxfId="137" dataCellStyle="Normal"/>
    <tableColumn id="121" xr3:uid="{784E8604-506D-4286-9088-0315727AE03F}" name="16) Tenho dificuldade em abordar outras pessoas" dataDxfId="136" dataCellStyle="Normal"/>
    <tableColumn id="122" xr3:uid="{F73CA9F2-0297-4BEE-B685-8843504F9400}" name="17) Estou sempre ocupado(a)" dataDxfId="135" dataCellStyle="Normal"/>
    <tableColumn id="123" xr3:uid="{6FB2175C-A56C-4026-A95E-C4313DBC3CC8}" name="18) Prefiro a variedade à rotina" dataDxfId="134" dataCellStyle="Normal"/>
    <tableColumn id="124" xr3:uid="{35572B2D-14FE-4DFE-9C59-0DD00A6C5648}" name="19) Gosto de uma boa zaragata" dataDxfId="133" dataCellStyle="Normal"/>
    <tableColumn id="125" xr3:uid="{A78B5C57-B3D2-4255-B4E8-D3B0AEFCB127}" name="20) Trabalho arduamente" dataDxfId="132" dataCellStyle="Normal"/>
    <tableColumn id="126" xr3:uid="{85AED29C-4525-471D-8033-4DAC594B3103}" name="21) Cometo excessos" dataDxfId="131" dataCellStyle="Normal"/>
    <tableColumn id="127" xr3:uid="{4334B400-218A-49D5-81BF-A01DEC2EF29C}" name="22) Adoro sentir emoção" dataDxfId="130" dataCellStyle="Normal"/>
    <tableColumn id="128" xr3:uid="{FA82BD25-C624-422A-A35D-1CA650B2EAD5}" name="23) Gosto de ler material desafiante" dataDxfId="129" dataCellStyle="Normal"/>
    <tableColumn id="129" xr3:uid="{0D2AE227-1792-49F5-81D4-7FCA5F9A4E56}" name="24) Acredito que sou melhor do que os outros" dataDxfId="128" dataCellStyle="Normal"/>
    <tableColumn id="130" xr3:uid="{141AC47C-D4D0-4052-80C0-7CD34BE91B1E}" name="25) Estou sempre preparado(a)" dataDxfId="127" dataCellStyle="Normal"/>
    <tableColumn id="131" xr3:uid="{66AF7131-59C8-4A03-B187-7437DB0300CB}" name="26) Entro em pânico facilmente" dataDxfId="126" dataCellStyle="Normal"/>
    <tableColumn id="132" xr3:uid="{E9F27E57-8A5C-47B2-AFC4-602B285AA8FA}" name="27) Irradio alegria" dataDxfId="125" dataCellStyle="Normal"/>
    <tableColumn id="133" xr3:uid="{7F87E3CA-3749-48D7-9E65-95D4CAEC6C24}" name="28) Tendo a votar em candidatos políticos liberais" dataDxfId="124" dataCellStyle="Normal"/>
    <tableColumn id="134" xr3:uid="{B1BCA4BB-8AFE-4D55-BBE9-05CF56507331}" name="29) Sinto simpatia pelos sem-abrigo" dataDxfId="123" dataCellStyle="Normal"/>
    <tableColumn id="135" xr3:uid="{E114D663-5B3A-4DFB-84BD-840B0C80D0BE}" name="30) Atiro-me às situações sem pensar" dataDxfId="122" dataCellStyle="Normal"/>
    <tableColumn id="136" xr3:uid="{1391AC08-7826-4CF1-9D48-E6A176D94D75}" name="31) Tenho medo do pior" dataDxfId="121" dataCellStyle="Normal"/>
    <tableColumn id="137" xr3:uid="{D60F11D2-3A99-4553-A733-674046A667D0}" name="32) Sinto-me confortável ao redor das pessoas" dataDxfId="120" dataCellStyle="Normal"/>
    <tableColumn id="138" xr3:uid="{1723C7E2-4AFE-48D9-BEA2-D3915FAE64AC}" name="33) Gosto de viajar pelo reino da fantasia" dataDxfId="119" dataCellStyle="Normal"/>
    <tableColumn id="139" xr3:uid="{5ACAD08C-2181-4B8E-A079-7F24C3D57F8E}" name="34) Acredito que os outros têm boas intenções" dataDxfId="118" dataCellStyle="Normal"/>
    <tableColumn id="140" xr3:uid="{8ECE934A-2C35-47B3-8CA1-BF0BD4A0F534}" name="35) Sou excelente no que faço" dataDxfId="117" dataCellStyle="Normal"/>
    <tableColumn id="141" xr3:uid="{563C7CD1-F384-44BE-A76F-85A612854481}" name="36) Irrito-me com facilidade" dataDxfId="116" dataCellStyle="Normal"/>
    <tableColumn id="142" xr3:uid="{4B2E8D78-BE1C-4EB2-AB40-E4F339D10267}" name="37) Converso com muitas pessoas diferentes em festas" dataDxfId="115" dataCellStyle="Normal"/>
    <tableColumn id="143" xr3:uid="{FC5AE564-465F-4406-BB9D-AD616B255728}" name="38) Vejo beleza em coisas que outros podem não notar" dataDxfId="114" dataCellStyle="Normal"/>
    <tableColumn id="144" xr3:uid="{5E6388C3-131D-4608-95A5-C5DBA0567959}" name="39) Faço batota para ficar à frente dos outros" dataDxfId="113" dataCellStyle="Normal"/>
    <tableColumn id="145" xr3:uid="{2CF57505-43C6-4577-8E4A-69356EB25E7F}" name="40) Esqueço-me com frequência de colocar as coisas no seu devido lugar" dataDxfId="112" dataCellStyle="Normal"/>
    <tableColumn id="146" xr3:uid="{C592F49A-EB64-43B5-A980-E097CA334D0C}" name="41) Não gosto de mim próprio(a)" dataDxfId="111" dataCellStyle="Normal"/>
    <tableColumn id="147" xr3:uid="{BA0437F5-BC8F-456E-B238-5D1C0E5B1D89}" name="42) Tento liderar os outros" dataDxfId="110" dataCellStyle="Normal"/>
    <tableColumn id="148" xr3:uid="{1A4746F4-E735-4F0F-8D7F-9AE078BA7FE9}" name="43) Sinto as emoções dos outros" dataDxfId="109" dataCellStyle="Normal"/>
    <tableColumn id="149" xr3:uid="{13570999-D69B-4A81-9F35-4782EF3C2DD8}" name="44) Preocupo-me com os outros" dataDxfId="108" dataCellStyle="Normal"/>
    <tableColumn id="150" xr3:uid="{17425DF8-8A60-4B6F-BF89-5C92819A6E38}" name="45) Digo a verdade" dataDxfId="107" dataCellStyle="Normal"/>
    <tableColumn id="151" xr3:uid="{7A79BA18-B838-40D7-9C84-D7C0FA892C45}" name="46) Tenho medo de chamar a atenção para mim mesmo(a)" dataDxfId="106" dataCellStyle="Normal"/>
    <tableColumn id="152" xr3:uid="{5BD36247-280E-4CE4-A76E-634539949C8D}" name="47) Estou sempre em movimento" dataDxfId="105" dataCellStyle="Normal"/>
    <tableColumn id="153" xr3:uid="{8FA7F26F-5A84-4138-BAFE-E3D32D6FB169}" name="48) Prefiro ficar-me pelas coisas que conheço" dataDxfId="104" dataCellStyle="Normal"/>
    <tableColumn id="154" xr3:uid="{CC1C6BC3-B14C-483B-928A-39D6A99ED6E6}" name="49) Grito com as pessoas" dataDxfId="103" dataCellStyle="Normal"/>
    <tableColumn id="155" xr3:uid="{1267116C-E6AD-440A-8FD7-94D07AE9F24B}" name="50) Faço mais do que é esperado de mim" dataDxfId="102" dataCellStyle="Normal"/>
    <tableColumn id="156" xr3:uid="{5D23CFB7-0C92-40D1-9F9E-93B9B995AC0C}" name="51) Raramente exagero" dataDxfId="101" dataCellStyle="Normal"/>
    <tableColumn id="157" xr3:uid="{76B60B5F-41B5-477C-BAEB-1C78FEFD8C02}" name="52) Procuro aventura" dataDxfId="100" dataCellStyle="Normal"/>
    <tableColumn id="158" xr3:uid="{7F83B3CC-60D5-4752-AAB2-D59E44E6DEF5}" name="53) Evito discussões filosóficas" dataDxfId="99" dataCellStyle="Normal"/>
    <tableColumn id="159" xr3:uid="{F7D504AE-8538-47AB-899B-41724A796C91}" name="54) Tenho-me em grande consideração" dataDxfId="98" dataCellStyle="Normal"/>
    <tableColumn id="160" xr3:uid="{03BBDC91-9134-41F8-A80A-F95017B0C652}" name="55) Realizo os meus planos até ao fim" dataDxfId="97" dataCellStyle="Normal"/>
    <tableColumn id="161" xr3:uid="{BCFFB169-6DF4-497D-9B68-C348FD9D501D}" name="56) Os eventos fazem-me sentir oprimido" dataDxfId="96" dataCellStyle="Normal"/>
    <tableColumn id="162" xr3:uid="{265F1A77-B636-4B3B-A3E0-FC23E4918C50}" name="57) Divirto-me muito" dataDxfId="95" dataCellStyle="Normal"/>
    <tableColumn id="163" xr3:uid="{9960DDA3-59FA-45E0-A0FF-E4766F1B6104}" name="58) Acredito que não há certo ou errado absolutos" dataDxfId="94" dataCellStyle="Normal"/>
    <tableColumn id="164" xr3:uid="{9CF39E89-E9CF-40D7-BB82-8403C283D2B5}" name="59) Sinto simpatia por aqueles que estão em situações piores do que a minha" dataDxfId="93" dataCellStyle="Normal"/>
    <tableColumn id="165" xr3:uid="{883ABE3F-FD09-464B-895B-18752A366C10}" name="60) Tomo decisões impulsivas" dataDxfId="92" dataCellStyle="Normal"/>
    <tableColumn id="166" xr3:uid="{DF1E67F8-F608-438A-88DE-70442560E30F}" name="61) Tenho medo de muitas coisas" dataDxfId="91" dataCellStyle="Normal"/>
    <tableColumn id="167" xr3:uid="{F42ADCE3-0C21-449B-9859-A6961079C279}" name="62) Evito contacto com outras pessoas" dataDxfId="90" dataCellStyle="Normal"/>
    <tableColumn id="168" xr3:uid="{6F808069-2ABB-4852-8FFA-4815595ADD2B}" name="63) Adoro sonhar acordado" dataDxfId="89" dataCellStyle="Normal"/>
    <tableColumn id="169" xr3:uid="{044FDC92-51FA-4BB7-990A-AE34F7AA8B20}" name="64) Confio no que as pessoas dizem" dataDxfId="88" dataCellStyle="Normal"/>
    <tableColumn id="170" xr3:uid="{DF3DE205-F424-408E-AE38-483CCF579918}" name="65) Lido com tarefas sem problemas" dataDxfId="87" dataCellStyle="Normal"/>
    <tableColumn id="171" xr3:uid="{61230299-5CAB-4093-A746-71290B2CA16B}" name="66) Perco a paciência" dataDxfId="86" dataCellStyle="Normal"/>
    <tableColumn id="172" xr3:uid="{98F6DA23-D0A9-493B-8CAB-EDE624FF1AB8}" name="67) Prefiro estar sozinho(a)" dataDxfId="85" dataCellStyle="Normal"/>
    <tableColumn id="173" xr3:uid="{079E5E28-A715-4506-BDAB-7515B2576921}" name="68) Não gosto de poesia" dataDxfId="84" dataCellStyle="Normal"/>
    <tableColumn id="174" xr3:uid="{A2E6E4C3-5729-497C-B1A9-B936D33BE966}" name="C1- Da lista a seguir escolha a opção 4" dataDxfId="83" dataCellStyle="Normal"/>
    <tableColumn id="175" xr3:uid="{41F4E2AD-A4E2-4AAE-8F2D-3AAAD71E761F}" name="69) Aproveito-me dos outros" dataDxfId="82" dataCellStyle="Normal"/>
    <tableColumn id="176" xr3:uid="{4DA8D921-6A5E-4CB8-94DD-54DF94A38112}" name="70) Deixo uma confusão no meu quarto" dataDxfId="81" dataCellStyle="Normal"/>
    <tableColumn id="177" xr3:uid="{860981DD-9C5D-491B-8FB6-86885AFF436E}" name="71) Estou muitas vezes em baixo" dataDxfId="80" dataCellStyle="Normal"/>
    <tableColumn id="178" xr3:uid="{F9029269-AF44-40B8-A2B2-E930C2E73D45}" name="72) Assumo o controlo das coisas" dataDxfId="79" dataCellStyle="Normal"/>
    <tableColumn id="179" xr3:uid="{8F297C65-3D77-4E36-B6C5-9F58B22FC8F4}" name="73) Raramente reparo nas minhas reações emocionais" dataDxfId="78" dataCellStyle="Normal"/>
    <tableColumn id="180" xr3:uid="{34A958A4-6AC6-4136-8664-633B8174C6B8}" name="74) Sou indiferente aos sentimentos dos outros" dataDxfId="77" dataCellStyle="Normal"/>
    <tableColumn id="181" xr3:uid="{C46DA01B-4059-4286-8768-648DAEEF1094}" name="75) Infrinjo as regras" dataDxfId="76" dataCellStyle="Normal"/>
    <tableColumn id="182" xr3:uid="{E33459EB-8CF2-407F-BF2D-795F91CBB77A}" name="76) Só me sinto confortável com amigos" dataDxfId="75" dataCellStyle="Normal"/>
    <tableColumn id="183" xr3:uid="{C54C19EA-B282-47CE-96EE-64E88497C352}" name="77) Faço imensas coisas no meu tempo livre" dataDxfId="74" dataCellStyle="Normal"/>
    <tableColumn id="184" xr3:uid="{A14F7511-4BA7-48AB-91C9-22E6501774C0}" name="78) Não gosto de mudanças" dataDxfId="73" dataCellStyle="Normal"/>
    <tableColumn id="185" xr3:uid="{FC901605-67E0-431B-8DB3-4A52DA88AE49}" name="79) Insulto as pessoas" dataDxfId="72" dataCellStyle="Normal"/>
    <tableColumn id="186" xr3:uid="{941478D3-347D-48FF-963C-9E21A792FF81}" name="80) Faço apenas o trabalho necessário para sobreviver" dataDxfId="71" dataCellStyle="Normal"/>
    <tableColumn id="187" xr3:uid="{5CB19678-983F-43D4-B21D-21335182C13B}" name="81) Resisto facilmente a tentações" dataDxfId="70" dataCellStyle="Normal"/>
    <tableColumn id="188" xr3:uid="{B4F89E9E-1262-4460-99AC-34C1DBD3B210}" name="82) Gosto de correr riscos" dataDxfId="69" dataCellStyle="Normal"/>
    <tableColumn id="189" xr3:uid="{E5B12D6F-61BC-47A4-9DC4-C656AF08CCBC}" name="83) Tenho dificuldade em entender ideias abstratas" dataDxfId="68" dataCellStyle="Normal"/>
    <tableColumn id="190" xr3:uid="{537AC82B-D057-4F87-8554-ED236936FAD3}" name="84) Tenho uma opinião elevada sobre mim próprio" dataDxfId="67" dataCellStyle="Normal"/>
    <tableColumn id="191" xr3:uid="{6B908EB5-0227-42E8-9AE9-555D826B53E8}" name="85) Desperdiço o meu tempo" dataDxfId="66" dataCellStyle="Normal"/>
    <tableColumn id="192" xr3:uid="{1907EAFA-59C0-454A-9FB1-7F79EA7ADB9C}" name="86) Sinto que não consigo lidar com as coisas" dataDxfId="65" dataCellStyle="Normal"/>
    <tableColumn id="193" xr3:uid="{B3583730-8D95-4EAF-9B70-FEABCE90E46F}" name="87) Amo a vida" dataDxfId="64" dataCellStyle="Normal"/>
    <tableColumn id="194" xr3:uid="{331FA2C1-5F05-404C-BD52-B63888FF948A}" name="88) Tendo a votar em candidatos políticos conservadores" dataDxfId="63" dataCellStyle="Normal"/>
    <tableColumn id="195" xr3:uid="{8710C75A-CFCF-4B2A-AD16-EA79D9C60032}" name="89) Não estou interessado nos problemas dos outros" dataDxfId="62" dataCellStyle="Normal"/>
    <tableColumn id="196" xr3:uid="{32A8303F-A2BC-40ED-B5AA-DEDBC1102433}" name="90) Faço as coisas à pressa" dataDxfId="61" dataCellStyle="Normal"/>
    <tableColumn id="197" xr3:uid="{CE9C9841-FC55-4644-BE32-F1DDDA12BEF2}" name="91) Fico facilmente stressado(a)" dataDxfId="60" dataCellStyle="Normal"/>
    <tableColumn id="198" xr3:uid="{3BE8F4A2-14D2-4B36-A49D-6ADFCA9BC3EC}" name="92) Mantenho os outros à distância" dataDxfId="59" dataCellStyle="Normal"/>
    <tableColumn id="199" xr3:uid="{700DCD4D-A39E-4B1E-8925-B9EB87B0170A}" name="93) Gosto de me perder em pensamentos" dataDxfId="58" dataCellStyle="Normal"/>
    <tableColumn id="200" xr3:uid="{69CA1332-CEA3-48C2-A487-71D9633E0ECF}" name="94) Desconfio das pessoas" dataDxfId="57" dataCellStyle="Normal"/>
    <tableColumn id="201" xr3:uid="{8271B0F4-598B-4B04-BD25-CBEBB9F29BA4}" name="95) Sei como fazer as coisas" dataDxfId="56" dataCellStyle="Normal"/>
    <tableColumn id="202" xr3:uid="{FC41FA15-E974-4141-9B16-7BE50B7E389D}" name="96) Não me irrito facilmente" dataDxfId="55" dataCellStyle="Normal"/>
    <tableColumn id="203" xr3:uid="{C14805AF-3D95-4C57-A7A1-CE32654A48C1}" name="97) Evito multidões" dataDxfId="54" dataCellStyle="Normal"/>
    <tableColumn id="204" xr3:uid="{5454B011-F0CD-4746-ACAB-D7E8F6E43D60}" name="98) Não gosto de ir a museus de arte" dataDxfId="53" dataCellStyle="Normal"/>
    <tableColumn id="205" xr3:uid="{FB6A2228-8B9B-4FC1-8276-A3994D86480E}" name="99) Obstruo os planos dos outros" dataDxfId="52" dataCellStyle="Normal"/>
    <tableColumn id="206" xr3:uid="{AD66F26D-1C11-4EAF-B43F-C03DC5CE5182}" name="100) Deixo os meus pertences em qualquer lado" dataDxfId="51" dataCellStyle="Normal"/>
    <tableColumn id="207" xr3:uid="{FE1C1A09-C5C3-47CC-AC17-BC86891CA517}" name="101) Sinto-me confortável comigo próprio(a)" dataDxfId="50" dataCellStyle="Normal"/>
    <tableColumn id="208" xr3:uid="{BF440655-9BBB-4CEF-ABBD-AAEAA96A9B35}" name="102) Espero que os outros liderem o caminho" dataDxfId="49" dataCellStyle="Normal"/>
    <tableColumn id="209" xr3:uid="{8477C2CA-1320-4516-9B0F-E80DA6230497}" name="103) Não entendo as pessoas que se emocionam" dataDxfId="48" dataCellStyle="Normal"/>
    <tableColumn id="210" xr3:uid="{5ED4A8F0-9B00-43DF-8FB6-971C11C7F5B8}" name="104) Não dedico tempo para os outros" dataDxfId="47" dataCellStyle="Normal"/>
    <tableColumn id="211" xr3:uid="{5618D6A8-FE45-42FE-AE65-37A56A851947}" name="105) Quebro as minhas promessas" dataDxfId="46" dataCellStyle="Normal"/>
    <tableColumn id="212" xr3:uid="{69421F3A-EB55-42C3-AC96-531A02B9324D}" name="106) Não me incomodo com situações sociais difíceis" dataDxfId="45" dataCellStyle="Normal"/>
    <tableColumn id="213" xr3:uid="{AA3C90FD-32A7-4999-9430-175C1F1A453A}" name="107) Gosto de ir com calma" dataDxfId="44" dataCellStyle="Normal"/>
    <tableColumn id="214" xr3:uid="{DBA59478-A4AF-4D18-BB4D-4DA3250080A0}" name="108) Sou apegado às formas convencionais" dataDxfId="43" dataCellStyle="Normal"/>
    <tableColumn id="215" xr3:uid="{8C394419-81E7-46B0-B268-749F73A887D7}" name="109) Viro-me contra os outros" dataDxfId="42" dataCellStyle="Normal"/>
    <tableColumn id="216" xr3:uid="{1965D30E-8D03-4897-BBDD-52CF0F3B3349}" name="110) Dedico pouco tempo e esforço ao meu trabalho" dataDxfId="41" dataCellStyle="Normal"/>
    <tableColumn id="217" xr3:uid="{88B2302B-439F-48BD-9C83-4C194912E158}" name="111) Sou capaz de controlar os meus desejos" dataDxfId="40" dataCellStyle="Normal"/>
    <tableColumn id="218" xr3:uid="{1A7E9937-BFCC-4B31-9578-F66765A9F5B4}" name="112)_x0009_Ajo de forma selvagem e louca" dataDxfId="39" dataCellStyle="Normal"/>
    <tableColumn id="219" xr3:uid="{F7216D7F-6065-4E65-9AD9-EBB21F07FB53}" name="113) Não estou interessado em discussões teóricas" dataDxfId="38" dataCellStyle="Normal"/>
    <tableColumn id="220" xr3:uid="{60A9AF3C-83B4-468E-BF0E-F36FC3C6AC1B}" name="114) Gabo-me das minhas virtudes" dataDxfId="37" dataCellStyle="Normal"/>
    <tableColumn id="221" xr3:uid="{EA5D683B-7BBF-4581-82E1-33E72A936CD5}" name="115) Tenho dificuldade em iniciar tarefas" dataDxfId="36" dataCellStyle="Normal"/>
    <tableColumn id="222" xr3:uid="{3C6F9A97-4C19-44D7-ABDF-C3D25A211E25}" name="116) Permaneço calmo(a) sob pressão" dataDxfId="35" dataCellStyle="Normal"/>
    <tableColumn id="223" xr3:uid="{C2A263AC-833B-412D-8F72-D1D597D45E19}" name="117) Vejo o lado bom da vida" dataDxfId="34" dataCellStyle="Normal"/>
    <tableColumn id="224" xr3:uid="{0767DE10-4443-4516-88FB-1483D94208E1}" name="118) Acredito que devemos ser inflexíveis com o crime" dataDxfId="33" dataCellStyle="Normal"/>
    <tableColumn id="225" xr3:uid="{DB5A9380-01F9-4699-940F-E3F65FCE0802}" name="119) Tento não pensar nos necessitados" dataDxfId="32" dataCellStyle="Normal"/>
    <tableColumn id="226" xr3:uid="{A481425C-20F2-4BAC-8D1D-0A860DCF5929}" name="120) Ajo sem pensar" dataDxfId="31" dataCellStyle="Normal"/>
    <tableColumn id="233" xr3:uid="{EFD8CF70-422B-4515-B034-EA8FC8A3DE3F}" name="C1_SelfEfficacy" dataDxfId="30" dataCellStyle="Normal"/>
    <tableColumn id="234" xr3:uid="{B22AECE2-647C-48BD-B8FD-8924F3DA5671}" name="C2_Order" dataDxfId="29" dataCellStyle="Normal"/>
    <tableColumn id="235" xr3:uid="{6BB8103A-4E22-4493-A90E-879ACEEEA523}" name="C3_Dutifulness" dataDxfId="28" dataCellStyle="Normal"/>
    <tableColumn id="236" xr3:uid="{638ED5F5-8AF4-45A7-B668-BCE50962C92D}" name="C4_Achievement" dataDxfId="27" dataCellStyle="Normal"/>
    <tableColumn id="237" xr3:uid="{6C0B562C-A011-4E54-8667-8C1F4CC51538}" name="C5_SelfDiscipline" dataDxfId="26" dataCellStyle="Normal"/>
    <tableColumn id="238" xr3:uid="{9DD96F44-3566-4A0C-BF82-528573E009B3}" name="C6_Cautiousness" dataDxfId="25" dataCellStyle="Normal"/>
    <tableColumn id="239" xr3:uid="{AFB997D8-03C4-4BAC-B814-272826CB7CBD}" name="N1_Anxiety" dataDxfId="24" dataCellStyle="Normal"/>
    <tableColumn id="240" xr3:uid="{0E1E57AF-C1A8-4454-A7BA-4BD8F6FE8236}" name="N2_Anger" dataDxfId="23" dataCellStyle="Normal"/>
    <tableColumn id="241" xr3:uid="{837EA159-922F-4353-B4B8-0C98CB2BCBB8}" name="N3_Depression" dataDxfId="22" dataCellStyle="Normal"/>
    <tableColumn id="242" xr3:uid="{0AF05A49-ABAB-4593-A883-CDF91726F91E}" name="N4_SelfConsc" dataDxfId="21" dataCellStyle="Normal"/>
    <tableColumn id="243" xr3:uid="{67F8ECF7-1393-444E-A700-A6B3363F226C}" name="N5_Immoderation" dataDxfId="20" dataCellStyle="Normal"/>
    <tableColumn id="244" xr3:uid="{8062CEF9-27FA-4EBE-A484-60A004178C2F}" name="N6_Vulnerability" dataDxfId="19" dataCellStyle="Normal"/>
    <tableColumn id="245" xr3:uid="{3DA343CA-7739-4BC0-9923-C62A611C7C56}" name="E1_Friendliness" dataDxfId="18" dataCellStyle="Normal"/>
    <tableColumn id="246" xr3:uid="{BE0FE4EE-4FAB-4DB1-8175-27C13051604A}" name="E2_Gregarious" dataDxfId="17" dataCellStyle="Normal"/>
    <tableColumn id="247" xr3:uid="{2E249097-6C94-4553-8B21-2C20BC64BECA}" name="E3_Assertiveness" dataDxfId="16" dataCellStyle="Normal"/>
    <tableColumn id="248" xr3:uid="{44C97D4A-DEC7-47CB-BFAA-3CB9F4D0F5FA}" name="E4_Activity" dataDxfId="15" dataCellStyle="Normal"/>
    <tableColumn id="249" xr3:uid="{2F173E6C-0DE6-40ED-B9D7-9E91C8740603}" name="E5_ExcitementSeek" dataDxfId="14" dataCellStyle="Normal"/>
    <tableColumn id="250" xr3:uid="{A2E3A757-27D3-4BB9-AB1F-8003C208E757}" name="E6_Cheerfulness" dataDxfId="13" dataCellStyle="Normal"/>
    <tableColumn id="251" xr3:uid="{EA67FB56-29AD-4389-945E-C4A72FFA2C04}" name="O1_Imagination" dataDxfId="12" dataCellStyle="Normal"/>
    <tableColumn id="252" xr3:uid="{B0582D0D-2996-4D47-9B82-F4D90F594AA7}" name="O2_ArtisticInterests" dataDxfId="11" dataCellStyle="Normal"/>
    <tableColumn id="253" xr3:uid="{1EDAB71D-DB73-497B-B1F4-E707150C07D1}" name="O3_Emotionality" dataDxfId="10" dataCellStyle="Normal"/>
    <tableColumn id="254" xr3:uid="{0949C365-B961-4BB5-A539-47896622567D}" name="O4_Adventurous" dataDxfId="9" dataCellStyle="Normal"/>
    <tableColumn id="255" xr3:uid="{191B27AA-05C5-4125-86A9-7DDEF9AD8BF8}" name="O5_Intellect" dataDxfId="8" dataCellStyle="Normal"/>
    <tableColumn id="256" xr3:uid="{A27842BE-9FE1-474D-AF53-ADC7ED45300E}" name="O6_Liberalism" dataDxfId="7" dataCellStyle="Normal"/>
    <tableColumn id="257" xr3:uid="{FF7D5F81-597B-4194-8AE4-DCD09C0B1F54}" name="A1_Trust" dataDxfId="6" dataCellStyle="Normal"/>
    <tableColumn id="258" xr3:uid="{08192E9F-F62A-4EB6-A73D-36CDA2650D3F}" name="A2_Morality" dataDxfId="5" dataCellStyle="Normal"/>
    <tableColumn id="259" xr3:uid="{88452567-C316-4314-8861-DC27F73DA2FD}" name="A3_Altruism" dataDxfId="4" dataCellStyle="Normal"/>
    <tableColumn id="260" xr3:uid="{982352C3-D57D-49C2-A8C5-09DA9474EB65}" name="A4_Cooperation" dataDxfId="3" dataCellStyle="Normal"/>
    <tableColumn id="261" xr3:uid="{10E5D586-60B3-4433-B872-2809208636C7}" name="A5_Modesty" dataDxfId="2" dataCellStyle="Normal"/>
    <tableColumn id="262" xr3:uid="{2C73F21D-5446-414E-8279-90AF3D814976}" name="A6_Sympathy" dataDxfId="1" dataCellStyle="Norm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ivotTable" Target="../pivotTables/pivotTable8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ivotTable" Target="../pivotTables/pivotTable9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ivotTable" Target="../pivotTables/pivotTable1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380E8C-D1BB-454E-8DA6-D1C49D86F77D}">
  <dimension ref="A1:JA101"/>
  <sheetViews>
    <sheetView tabSelected="1" zoomScaleNormal="100" workbookViewId="0">
      <selection activeCell="C5" sqref="C5"/>
    </sheetView>
  </sheetViews>
  <sheetFormatPr defaultRowHeight="14.4" x14ac:dyDescent="0.3"/>
  <cols>
    <col min="1" max="1" width="5.6640625" bestFit="1" customWidth="1"/>
    <col min="2" max="13" width="20" customWidth="1"/>
    <col min="14" max="14" width="18.33203125" customWidth="1"/>
    <col min="15" max="15" width="17.6640625" customWidth="1"/>
    <col min="16" max="16" width="19.6640625" customWidth="1"/>
    <col min="17" max="17" width="21.44140625" customWidth="1"/>
    <col min="18" max="18" width="16.5546875" customWidth="1"/>
    <col min="19" max="19" width="19.6640625" customWidth="1"/>
    <col min="20" max="21" width="19.5546875" customWidth="1"/>
    <col min="22" max="22" width="19.33203125" customWidth="1"/>
    <col min="23" max="23" width="13.33203125" customWidth="1"/>
    <col min="24" max="24" width="16.33203125" customWidth="1"/>
    <col min="25" max="25" width="17.6640625" customWidth="1"/>
    <col min="26" max="26" width="18.33203125" customWidth="1"/>
    <col min="27" max="27" width="17.6640625" customWidth="1"/>
    <col min="28" max="28" width="19.6640625" customWidth="1"/>
    <col min="29" max="29" width="21.44140625" customWidth="1"/>
    <col min="30" max="30" width="17.6640625" customWidth="1"/>
    <col min="31" max="31" width="19.6640625" customWidth="1"/>
    <col min="32" max="32" width="19.5546875" customWidth="1"/>
    <col min="33" max="33" width="21.33203125" customWidth="1"/>
    <col min="34" max="34" width="21.5546875" customWidth="1"/>
    <col min="35" max="35" width="19.33203125" customWidth="1"/>
    <col min="36" max="36" width="17.6640625" customWidth="1"/>
    <col min="37" max="37" width="18.33203125" customWidth="1"/>
    <col min="38" max="38" width="17.6640625" customWidth="1"/>
    <col min="39" max="40" width="19.6640625" customWidth="1"/>
    <col min="41" max="41" width="17.6640625" customWidth="1"/>
    <col min="42" max="42" width="19.6640625" customWidth="1"/>
    <col min="43" max="44" width="19.5546875" customWidth="1"/>
    <col min="45" max="45" width="21.5546875" customWidth="1"/>
    <col min="46" max="46" width="19.33203125" customWidth="1"/>
    <col min="47" max="47" width="17.6640625" customWidth="1"/>
    <col min="48" max="48" width="18.33203125" customWidth="1"/>
    <col min="49" max="49" width="17.6640625" customWidth="1"/>
    <col min="50" max="51" width="19.6640625" customWidth="1"/>
    <col min="52" max="52" width="17.6640625" customWidth="1"/>
    <col min="53" max="53" width="19.6640625" customWidth="1"/>
    <col min="54" max="55" width="19.5546875" customWidth="1"/>
    <col min="56" max="56" width="21.5546875" customWidth="1"/>
    <col min="57" max="57" width="19.33203125" customWidth="1"/>
    <col min="58" max="58" width="17.6640625" customWidth="1"/>
    <col min="59" max="59" width="18.33203125" customWidth="1"/>
    <col min="60" max="60" width="17.6640625" customWidth="1"/>
    <col min="61" max="61" width="19.6640625" customWidth="1"/>
    <col min="62" max="62" width="21.44140625" customWidth="1"/>
    <col min="63" max="63" width="17.6640625" customWidth="1"/>
    <col min="64" max="64" width="19.6640625" customWidth="1"/>
    <col min="65" max="65" width="19.5546875" customWidth="1"/>
    <col min="66" max="66" width="21.33203125" customWidth="1"/>
    <col min="67" max="67" width="18.33203125" customWidth="1"/>
    <col min="68" max="68" width="17.6640625" customWidth="1"/>
    <col min="69" max="69" width="19.6640625" customWidth="1"/>
    <col min="70" max="70" width="21.44140625" customWidth="1"/>
    <col min="71" max="71" width="17.6640625" customWidth="1"/>
    <col min="72" max="72" width="19.6640625" customWidth="1"/>
    <col min="73" max="73" width="19.5546875" customWidth="1"/>
    <col min="74" max="74" width="21.33203125" customWidth="1"/>
    <col min="75" max="75" width="21.5546875" customWidth="1"/>
    <col min="76" max="76" width="19.33203125" customWidth="1"/>
    <col min="77" max="77" width="17.6640625" customWidth="1"/>
    <col min="78" max="78" width="18.33203125" customWidth="1"/>
    <col min="79" max="79" width="17.6640625" customWidth="1"/>
    <col min="80" max="80" width="19.6640625" customWidth="1"/>
    <col min="81" max="81" width="21.44140625" customWidth="1"/>
    <col min="82" max="82" width="17.6640625" customWidth="1"/>
    <col min="83" max="83" width="19.6640625" customWidth="1"/>
    <col min="84" max="84" width="19.5546875" customWidth="1"/>
    <col min="85" max="85" width="22.44140625" customWidth="1"/>
    <col min="86" max="86" width="21.5546875" customWidth="1"/>
    <col min="87" max="87" width="19.33203125" customWidth="1"/>
    <col min="88" max="91" width="17.5546875" customWidth="1"/>
    <col min="92" max="94" width="17.5546875" style="10" customWidth="1"/>
    <col min="95" max="96" width="16.6640625" style="1" bestFit="1" customWidth="1"/>
    <col min="97" max="97" width="16.6640625" style="2" bestFit="1" customWidth="1"/>
    <col min="98" max="98" width="12.33203125" style="2" bestFit="1" customWidth="1"/>
    <col min="99" max="99" width="12.6640625" style="2" bestFit="1" customWidth="1"/>
    <col min="100" max="100" width="15.5546875" style="2" bestFit="1" customWidth="1"/>
    <col min="101" max="102" width="16.6640625" style="1" bestFit="1" customWidth="1"/>
    <col min="103" max="103" width="16.6640625" bestFit="1" customWidth="1"/>
    <col min="104" max="104" width="12.33203125" bestFit="1" customWidth="1"/>
    <col min="105" max="105" width="12.6640625" bestFit="1" customWidth="1"/>
    <col min="106" max="106" width="15.5546875" bestFit="1" customWidth="1"/>
    <col min="107" max="107" width="18.33203125" bestFit="1" customWidth="1"/>
    <col min="108" max="108" width="18.33203125" customWidth="1"/>
    <col min="109" max="109" width="18.33203125" bestFit="1" customWidth="1"/>
    <col min="110" max="230" width="0" hidden="1" customWidth="1"/>
    <col min="231" max="231" width="8.77734375" customWidth="1"/>
    <col min="261" max="16384" width="8.88671875" style="10"/>
  </cols>
  <sheetData>
    <row r="1" spans="1:261" customFormat="1" x14ac:dyDescent="0.3">
      <c r="A1" t="s">
        <v>0</v>
      </c>
      <c r="B1" t="s">
        <v>466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  <c r="BA1" t="s">
        <v>51</v>
      </c>
      <c r="BB1" t="s">
        <v>52</v>
      </c>
      <c r="BC1" t="s">
        <v>53</v>
      </c>
      <c r="BD1" t="s">
        <v>54</v>
      </c>
      <c r="BE1" t="s">
        <v>55</v>
      </c>
      <c r="BF1" t="s">
        <v>56</v>
      </c>
      <c r="BG1" t="s">
        <v>57</v>
      </c>
      <c r="BH1" t="s">
        <v>58</v>
      </c>
      <c r="BI1" t="s">
        <v>59</v>
      </c>
      <c r="BJ1" t="s">
        <v>60</v>
      </c>
      <c r="BK1" t="s">
        <v>61</v>
      </c>
      <c r="BL1" t="s">
        <v>62</v>
      </c>
      <c r="BM1" t="s">
        <v>63</v>
      </c>
      <c r="BN1" t="s">
        <v>64</v>
      </c>
      <c r="BO1" t="s">
        <v>65</v>
      </c>
      <c r="BP1" t="s">
        <v>66</v>
      </c>
      <c r="BQ1" t="s">
        <v>67</v>
      </c>
      <c r="BR1" t="s">
        <v>68</v>
      </c>
      <c r="BS1" t="s">
        <v>69</v>
      </c>
      <c r="BT1" t="s">
        <v>70</v>
      </c>
      <c r="BU1" t="s">
        <v>71</v>
      </c>
      <c r="BV1" t="s">
        <v>72</v>
      </c>
      <c r="BW1" t="s">
        <v>73</v>
      </c>
      <c r="BX1" t="s">
        <v>74</v>
      </c>
      <c r="BY1" t="s">
        <v>75</v>
      </c>
      <c r="BZ1" t="s">
        <v>76</v>
      </c>
      <c r="CA1" t="s">
        <v>77</v>
      </c>
      <c r="CB1" t="s">
        <v>78</v>
      </c>
      <c r="CC1" t="s">
        <v>79</v>
      </c>
      <c r="CD1" t="s">
        <v>80</v>
      </c>
      <c r="CE1" t="s">
        <v>81</v>
      </c>
      <c r="CF1" t="s">
        <v>82</v>
      </c>
      <c r="CG1" t="s">
        <v>83</v>
      </c>
      <c r="CH1" t="s">
        <v>84</v>
      </c>
      <c r="CI1" t="s">
        <v>85</v>
      </c>
      <c r="CJ1" t="s">
        <v>86</v>
      </c>
      <c r="CK1" t="s">
        <v>465</v>
      </c>
      <c r="CL1" s="7" t="s">
        <v>87</v>
      </c>
      <c r="CM1" s="7" t="s">
        <v>88</v>
      </c>
      <c r="CN1" s="13" t="s">
        <v>89</v>
      </c>
      <c r="CO1" s="14" t="s">
        <v>90</v>
      </c>
      <c r="CP1" s="14" t="s">
        <v>91</v>
      </c>
      <c r="CQ1" s="7" t="s">
        <v>92</v>
      </c>
      <c r="CR1" s="1" t="s">
        <v>93</v>
      </c>
      <c r="CS1" s="1" t="s">
        <v>94</v>
      </c>
      <c r="CT1" s="2" t="s">
        <v>95</v>
      </c>
      <c r="CU1" s="2" t="s">
        <v>96</v>
      </c>
      <c r="CV1" s="2" t="s">
        <v>97</v>
      </c>
      <c r="CW1" s="2" t="s">
        <v>98</v>
      </c>
      <c r="CX1" s="1" t="s">
        <v>99</v>
      </c>
      <c r="CY1" s="1" t="s">
        <v>100</v>
      </c>
      <c r="CZ1" t="s">
        <v>101</v>
      </c>
      <c r="DA1" t="s">
        <v>102</v>
      </c>
      <c r="DB1" t="s">
        <v>103</v>
      </c>
      <c r="DC1" t="s">
        <v>104</v>
      </c>
      <c r="DD1" s="11" t="s">
        <v>105</v>
      </c>
      <c r="DE1" s="11" t="s">
        <v>106</v>
      </c>
      <c r="DF1" t="s">
        <v>107</v>
      </c>
      <c r="DG1" t="s">
        <v>108</v>
      </c>
      <c r="DH1" t="s">
        <v>109</v>
      </c>
      <c r="DI1" t="s">
        <v>110</v>
      </c>
      <c r="DJ1" t="s">
        <v>111</v>
      </c>
      <c r="DK1" t="s">
        <v>112</v>
      </c>
      <c r="DL1" t="s">
        <v>113</v>
      </c>
      <c r="DM1" t="s">
        <v>114</v>
      </c>
      <c r="DN1" t="s">
        <v>115</v>
      </c>
      <c r="DO1" t="s">
        <v>116</v>
      </c>
      <c r="DP1" t="s">
        <v>117</v>
      </c>
      <c r="DQ1" t="s">
        <v>118</v>
      </c>
      <c r="DR1" t="s">
        <v>119</v>
      </c>
      <c r="DS1" t="s">
        <v>120</v>
      </c>
      <c r="DT1" t="s">
        <v>121</v>
      </c>
      <c r="DU1" t="s">
        <v>122</v>
      </c>
      <c r="DV1" t="s">
        <v>123</v>
      </c>
      <c r="DW1" t="s">
        <v>124</v>
      </c>
      <c r="DX1" t="s">
        <v>125</v>
      </c>
      <c r="DY1" t="s">
        <v>126</v>
      </c>
      <c r="DZ1" t="s">
        <v>127</v>
      </c>
      <c r="EA1" t="s">
        <v>128</v>
      </c>
      <c r="EB1" t="s">
        <v>129</v>
      </c>
      <c r="EC1" t="s">
        <v>130</v>
      </c>
      <c r="ED1" t="s">
        <v>131</v>
      </c>
      <c r="EE1" t="s">
        <v>132</v>
      </c>
      <c r="EF1" t="s">
        <v>133</v>
      </c>
      <c r="EG1" t="s">
        <v>134</v>
      </c>
      <c r="EH1" t="s">
        <v>135</v>
      </c>
      <c r="EI1" t="s">
        <v>136</v>
      </c>
      <c r="EJ1" t="s">
        <v>137</v>
      </c>
      <c r="EK1" t="s">
        <v>138</v>
      </c>
      <c r="EL1" t="s">
        <v>139</v>
      </c>
      <c r="EM1" t="s">
        <v>140</v>
      </c>
      <c r="EN1" t="s">
        <v>141</v>
      </c>
      <c r="EO1" t="s">
        <v>142</v>
      </c>
      <c r="EP1" t="s">
        <v>143</v>
      </c>
      <c r="EQ1" t="s">
        <v>144</v>
      </c>
      <c r="ER1" t="s">
        <v>145</v>
      </c>
      <c r="ES1" t="s">
        <v>146</v>
      </c>
      <c r="ET1" t="s">
        <v>147</v>
      </c>
      <c r="EU1" t="s">
        <v>148</v>
      </c>
      <c r="EV1" t="s">
        <v>149</v>
      </c>
      <c r="EW1" t="s">
        <v>150</v>
      </c>
      <c r="EX1" t="s">
        <v>151</v>
      </c>
      <c r="EY1" t="s">
        <v>152</v>
      </c>
      <c r="EZ1" t="s">
        <v>153</v>
      </c>
      <c r="FA1" t="s">
        <v>154</v>
      </c>
      <c r="FB1" t="s">
        <v>155</v>
      </c>
      <c r="FC1" t="s">
        <v>156</v>
      </c>
      <c r="FD1" t="s">
        <v>157</v>
      </c>
      <c r="FE1" t="s">
        <v>158</v>
      </c>
      <c r="FF1" t="s">
        <v>159</v>
      </c>
      <c r="FG1" t="s">
        <v>160</v>
      </c>
      <c r="FH1" t="s">
        <v>161</v>
      </c>
      <c r="FI1" t="s">
        <v>162</v>
      </c>
      <c r="FJ1" t="s">
        <v>163</v>
      </c>
      <c r="FK1" t="s">
        <v>164</v>
      </c>
      <c r="FL1" t="s">
        <v>165</v>
      </c>
      <c r="FM1" t="s">
        <v>166</v>
      </c>
      <c r="FN1" t="s">
        <v>167</v>
      </c>
      <c r="FO1" t="s">
        <v>168</v>
      </c>
      <c r="FP1" t="s">
        <v>169</v>
      </c>
      <c r="FQ1" t="s">
        <v>170</v>
      </c>
      <c r="FR1" t="s">
        <v>171</v>
      </c>
      <c r="FS1" t="s">
        <v>172</v>
      </c>
      <c r="FT1" t="s">
        <v>173</v>
      </c>
      <c r="FU1" t="s">
        <v>174</v>
      </c>
      <c r="FV1" t="s">
        <v>175</v>
      </c>
      <c r="FW1" t="s">
        <v>176</v>
      </c>
      <c r="FX1" t="s">
        <v>177</v>
      </c>
      <c r="FY1" t="s">
        <v>178</v>
      </c>
      <c r="FZ1" t="s">
        <v>179</v>
      </c>
      <c r="GA1" t="s">
        <v>180</v>
      </c>
      <c r="GB1" t="s">
        <v>181</v>
      </c>
      <c r="GC1" t="s">
        <v>182</v>
      </c>
      <c r="GD1" t="s">
        <v>183</v>
      </c>
      <c r="GE1" t="s">
        <v>184</v>
      </c>
      <c r="GF1" t="s">
        <v>185</v>
      </c>
      <c r="GG1" t="s">
        <v>186</v>
      </c>
      <c r="GH1" t="s">
        <v>187</v>
      </c>
      <c r="GI1" t="s">
        <v>188</v>
      </c>
      <c r="GJ1" t="s">
        <v>189</v>
      </c>
      <c r="GK1" t="s">
        <v>190</v>
      </c>
      <c r="GL1" t="s">
        <v>191</v>
      </c>
      <c r="GM1" t="s">
        <v>192</v>
      </c>
      <c r="GN1" t="s">
        <v>193</v>
      </c>
      <c r="GO1" t="s">
        <v>194</v>
      </c>
      <c r="GP1" t="s">
        <v>195</v>
      </c>
      <c r="GQ1" t="s">
        <v>196</v>
      </c>
      <c r="GR1" t="s">
        <v>197</v>
      </c>
      <c r="GS1" t="s">
        <v>198</v>
      </c>
      <c r="GT1" t="s">
        <v>199</v>
      </c>
      <c r="GU1" t="s">
        <v>200</v>
      </c>
      <c r="GV1" t="s">
        <v>201</v>
      </c>
      <c r="GW1" t="s">
        <v>202</v>
      </c>
      <c r="GX1" t="s">
        <v>203</v>
      </c>
      <c r="GY1" t="s">
        <v>204</v>
      </c>
      <c r="GZ1" t="s">
        <v>205</v>
      </c>
      <c r="HA1" t="s">
        <v>206</v>
      </c>
      <c r="HB1" t="s">
        <v>207</v>
      </c>
      <c r="HC1" t="s">
        <v>208</v>
      </c>
      <c r="HD1" t="s">
        <v>209</v>
      </c>
      <c r="HE1" t="s">
        <v>210</v>
      </c>
      <c r="HF1" t="s">
        <v>211</v>
      </c>
      <c r="HG1" t="s">
        <v>212</v>
      </c>
      <c r="HH1" t="s">
        <v>213</v>
      </c>
      <c r="HI1" t="s">
        <v>214</v>
      </c>
      <c r="HJ1" t="s">
        <v>215</v>
      </c>
      <c r="HK1" t="s">
        <v>216</v>
      </c>
      <c r="HL1" t="s">
        <v>217</v>
      </c>
      <c r="HM1" t="s">
        <v>218</v>
      </c>
      <c r="HN1" t="s">
        <v>219</v>
      </c>
      <c r="HO1" t="s">
        <v>220</v>
      </c>
      <c r="HP1" t="s">
        <v>221</v>
      </c>
      <c r="HQ1" t="s">
        <v>222</v>
      </c>
      <c r="HR1" t="s">
        <v>223</v>
      </c>
      <c r="HS1" t="s">
        <v>224</v>
      </c>
      <c r="HT1" t="s">
        <v>225</v>
      </c>
      <c r="HU1" t="s">
        <v>226</v>
      </c>
      <c r="HV1" t="s">
        <v>227</v>
      </c>
      <c r="HW1" t="s">
        <v>228</v>
      </c>
      <c r="HX1" t="s">
        <v>229</v>
      </c>
      <c r="HY1" t="s">
        <v>230</v>
      </c>
      <c r="HZ1" t="s">
        <v>231</v>
      </c>
      <c r="IA1" t="s">
        <v>232</v>
      </c>
      <c r="IB1" t="s">
        <v>233</v>
      </c>
      <c r="IC1" t="s">
        <v>234</v>
      </c>
      <c r="ID1" t="s">
        <v>235</v>
      </c>
      <c r="IE1" t="s">
        <v>236</v>
      </c>
      <c r="IF1" t="s">
        <v>237</v>
      </c>
      <c r="IG1" t="s">
        <v>238</v>
      </c>
      <c r="IH1" t="s">
        <v>239</v>
      </c>
      <c r="II1" t="s">
        <v>240</v>
      </c>
      <c r="IJ1" t="s">
        <v>241</v>
      </c>
      <c r="IK1" t="s">
        <v>242</v>
      </c>
      <c r="IL1" t="s">
        <v>243</v>
      </c>
      <c r="IM1" t="s">
        <v>244</v>
      </c>
      <c r="IN1" t="s">
        <v>245</v>
      </c>
      <c r="IO1" t="s">
        <v>246</v>
      </c>
      <c r="IP1" t="s">
        <v>247</v>
      </c>
      <c r="IQ1" t="s">
        <v>248</v>
      </c>
      <c r="IR1" t="s">
        <v>249</v>
      </c>
      <c r="IS1" t="s">
        <v>250</v>
      </c>
      <c r="IT1" t="s">
        <v>251</v>
      </c>
      <c r="IU1" t="s">
        <v>252</v>
      </c>
      <c r="IV1" t="s">
        <v>253</v>
      </c>
      <c r="IW1" t="s">
        <v>254</v>
      </c>
      <c r="IX1" t="s">
        <v>255</v>
      </c>
      <c r="IY1" t="s">
        <v>256</v>
      </c>
      <c r="IZ1" t="s">
        <v>257</v>
      </c>
      <c r="JA1" s="10"/>
    </row>
    <row r="2" spans="1:261" s="15" customFormat="1" x14ac:dyDescent="0.3">
      <c r="A2" s="15">
        <v>2</v>
      </c>
      <c r="B2" s="15" t="s">
        <v>469</v>
      </c>
      <c r="C2" s="16">
        <v>21</v>
      </c>
      <c r="D2" s="15" t="s">
        <v>258</v>
      </c>
      <c r="E2" s="15" t="s">
        <v>259</v>
      </c>
      <c r="F2" s="15" t="s">
        <v>260</v>
      </c>
      <c r="G2" s="15" t="s">
        <v>261</v>
      </c>
      <c r="H2" s="15" t="s">
        <v>262</v>
      </c>
      <c r="I2" s="15" t="s">
        <v>263</v>
      </c>
      <c r="J2" s="15" t="s">
        <v>264</v>
      </c>
      <c r="K2" s="15" t="s">
        <v>265</v>
      </c>
      <c r="L2" s="15" t="s">
        <v>266</v>
      </c>
      <c r="M2" s="15" t="s">
        <v>267</v>
      </c>
      <c r="AD2" s="15">
        <v>0</v>
      </c>
      <c r="AE2" s="15">
        <f>2/2</f>
        <v>1</v>
      </c>
      <c r="AF2" s="15">
        <f>(8320.881)/1000</f>
        <v>8.320881</v>
      </c>
      <c r="AG2" s="15">
        <v>0</v>
      </c>
      <c r="AH2" s="15">
        <v>0</v>
      </c>
      <c r="AO2" s="15">
        <v>1</v>
      </c>
      <c r="AP2" s="15">
        <f>1/3</f>
        <v>0.33333333333333331</v>
      </c>
      <c r="AQ2" s="15">
        <f>5535.079/1000</f>
        <v>5.5350789999999996</v>
      </c>
      <c r="AR2" s="15">
        <f>0.04+0.0825</f>
        <v>0.1225</v>
      </c>
      <c r="AZ2" s="15">
        <v>0</v>
      </c>
      <c r="BA2" s="15">
        <f>2/2</f>
        <v>1</v>
      </c>
      <c r="BB2" s="15">
        <f>5260.934/1000</f>
        <v>5.2609339999999998</v>
      </c>
      <c r="BC2" s="15">
        <v>0</v>
      </c>
      <c r="BD2" s="15">
        <v>0</v>
      </c>
      <c r="BK2" s="15">
        <v>0</v>
      </c>
      <c r="BL2" s="15">
        <f>2/2</f>
        <v>1</v>
      </c>
      <c r="BM2" s="15">
        <f>9680.125/1000</f>
        <v>9.6801250000000003</v>
      </c>
      <c r="BN2" s="15">
        <v>0</v>
      </c>
      <c r="BS2" s="15">
        <v>0</v>
      </c>
      <c r="BT2" s="15">
        <f>2/2</f>
        <v>1</v>
      </c>
      <c r="BU2" s="15">
        <f>22557.061/1000</f>
        <v>22.557061000000001</v>
      </c>
      <c r="BV2" s="15">
        <v>0</v>
      </c>
      <c r="BW2" s="15">
        <v>0</v>
      </c>
      <c r="CK2" s="15">
        <f t="shared" ref="CK2:CK33" si="0">SUM(P2,T2,X2,AB2,AF2,AM2,AQ2,AX2,BB2,BI2,BM2,BQ2,BU2,CB2,CF2)</f>
        <v>51.354079999999996</v>
      </c>
      <c r="CL2" s="15">
        <f>0/8</f>
        <v>0</v>
      </c>
      <c r="CM2" s="15">
        <v>0</v>
      </c>
      <c r="CN2" s="15">
        <v>0</v>
      </c>
      <c r="CO2" s="15">
        <v>0</v>
      </c>
      <c r="CP2" s="15">
        <v>0</v>
      </c>
      <c r="CQ2" s="15">
        <v>0</v>
      </c>
      <c r="CR2" s="15">
        <v>2.0833333333333332E-2</v>
      </c>
      <c r="CS2" s="15">
        <f>19/104</f>
        <v>0.18269230769230768</v>
      </c>
      <c r="CT2" s="15">
        <v>0</v>
      </c>
      <c r="CU2" s="15">
        <v>150</v>
      </c>
      <c r="CV2" s="15">
        <v>190</v>
      </c>
      <c r="CW2" s="15">
        <v>0</v>
      </c>
      <c r="CX2" s="15">
        <v>0</v>
      </c>
      <c r="CY2" s="15">
        <v>0.12727272727272726</v>
      </c>
      <c r="CZ2" s="15">
        <v>0</v>
      </c>
      <c r="DA2" s="15">
        <v>116</v>
      </c>
      <c r="DB2" s="15">
        <v>140</v>
      </c>
      <c r="DC2" s="15">
        <v>0</v>
      </c>
      <c r="DD2" s="15">
        <v>1</v>
      </c>
      <c r="DE2" s="15">
        <v>0</v>
      </c>
      <c r="DF2" s="15">
        <v>4</v>
      </c>
      <c r="DG2" s="15">
        <v>2</v>
      </c>
      <c r="DH2" s="15">
        <v>2</v>
      </c>
      <c r="DI2" s="15">
        <v>2</v>
      </c>
      <c r="DJ2" s="15">
        <v>2</v>
      </c>
      <c r="DK2" s="15">
        <v>2</v>
      </c>
      <c r="DL2" s="15">
        <v>1</v>
      </c>
      <c r="DM2" s="15">
        <v>3</v>
      </c>
      <c r="DN2" s="15">
        <v>1</v>
      </c>
      <c r="DO2" s="15">
        <v>3</v>
      </c>
      <c r="DP2" s="15">
        <v>3</v>
      </c>
      <c r="DQ2" s="15">
        <v>3</v>
      </c>
      <c r="DR2" s="15">
        <v>2</v>
      </c>
      <c r="DS2" s="15">
        <v>4</v>
      </c>
      <c r="DT2" s="15">
        <v>5</v>
      </c>
      <c r="DU2" s="15">
        <v>5</v>
      </c>
      <c r="DV2" s="15">
        <v>3</v>
      </c>
      <c r="DW2" s="15">
        <v>1</v>
      </c>
      <c r="DX2" s="15">
        <v>2</v>
      </c>
      <c r="DY2" s="15">
        <v>3</v>
      </c>
      <c r="DZ2" s="15">
        <v>4</v>
      </c>
      <c r="EA2" s="15">
        <v>2</v>
      </c>
      <c r="EB2" s="15">
        <v>4</v>
      </c>
      <c r="EC2" s="15">
        <v>1</v>
      </c>
      <c r="ED2" s="15">
        <v>2</v>
      </c>
      <c r="EE2" s="15">
        <v>2</v>
      </c>
      <c r="EF2" s="15">
        <v>2</v>
      </c>
      <c r="EG2" s="15">
        <v>3</v>
      </c>
      <c r="EH2" s="15">
        <v>5</v>
      </c>
      <c r="EI2" s="15">
        <v>4</v>
      </c>
      <c r="EJ2" s="15">
        <v>5</v>
      </c>
      <c r="EK2" s="15">
        <v>1</v>
      </c>
      <c r="EL2" s="15">
        <v>3</v>
      </c>
      <c r="EM2" s="15">
        <v>2</v>
      </c>
      <c r="EN2" s="15">
        <v>1</v>
      </c>
      <c r="EO2" s="15">
        <v>2</v>
      </c>
      <c r="EP2" s="15">
        <v>1</v>
      </c>
      <c r="EQ2" s="15">
        <v>1</v>
      </c>
      <c r="ER2" s="15">
        <v>1</v>
      </c>
      <c r="ES2" s="15">
        <v>5</v>
      </c>
      <c r="ET2" s="15">
        <v>5</v>
      </c>
      <c r="EU2" s="15">
        <v>1</v>
      </c>
      <c r="EV2" s="15">
        <v>3</v>
      </c>
      <c r="EW2" s="15">
        <v>4</v>
      </c>
      <c r="EX2" s="15">
        <v>5</v>
      </c>
      <c r="EY2" s="15">
        <v>5</v>
      </c>
      <c r="EZ2" s="15">
        <v>1</v>
      </c>
      <c r="FA2" s="15">
        <v>5</v>
      </c>
      <c r="FB2" s="15">
        <v>2</v>
      </c>
      <c r="FC2" s="15">
        <v>2</v>
      </c>
      <c r="FD2" s="15">
        <v>2</v>
      </c>
      <c r="FE2" s="15">
        <v>1</v>
      </c>
      <c r="FF2" s="15">
        <v>1</v>
      </c>
      <c r="FG2" s="15">
        <v>3</v>
      </c>
      <c r="FH2" s="15">
        <v>4</v>
      </c>
      <c r="FI2" s="15">
        <v>1</v>
      </c>
      <c r="FJ2" s="15">
        <v>3</v>
      </c>
      <c r="FK2" s="15">
        <v>4</v>
      </c>
      <c r="FL2" s="15">
        <v>5</v>
      </c>
      <c r="FM2" s="15">
        <v>4</v>
      </c>
      <c r="FN2" s="15">
        <v>5</v>
      </c>
      <c r="FO2" s="15">
        <v>5</v>
      </c>
      <c r="FP2" s="15">
        <v>4</v>
      </c>
      <c r="FQ2" s="15">
        <v>2</v>
      </c>
      <c r="FR2" s="15">
        <v>1</v>
      </c>
      <c r="FS2" s="15">
        <v>2</v>
      </c>
      <c r="FT2" s="15">
        <v>4</v>
      </c>
      <c r="FU2" s="15">
        <v>5</v>
      </c>
      <c r="FV2" s="15">
        <v>4</v>
      </c>
      <c r="FW2" s="15">
        <v>1</v>
      </c>
      <c r="FX2" s="15">
        <v>3</v>
      </c>
      <c r="FY2" s="15">
        <v>3</v>
      </c>
      <c r="FZ2" s="15">
        <v>3</v>
      </c>
      <c r="GA2" s="15">
        <v>3</v>
      </c>
      <c r="GB2" s="15">
        <v>2</v>
      </c>
      <c r="GC2" s="15">
        <v>3</v>
      </c>
      <c r="GD2" s="15">
        <v>5</v>
      </c>
      <c r="GE2" s="15">
        <v>4</v>
      </c>
      <c r="GF2" s="15">
        <v>5</v>
      </c>
      <c r="GG2" s="15">
        <v>2</v>
      </c>
      <c r="GH2" s="15">
        <v>4</v>
      </c>
      <c r="GI2" s="15">
        <v>3</v>
      </c>
      <c r="GJ2" s="15">
        <v>2</v>
      </c>
      <c r="GK2" s="15">
        <v>3</v>
      </c>
      <c r="GL2" s="15">
        <v>1</v>
      </c>
      <c r="GM2" s="15">
        <v>5</v>
      </c>
      <c r="GN2" s="15">
        <v>5</v>
      </c>
      <c r="GO2" s="15">
        <v>3</v>
      </c>
      <c r="GP2" s="15">
        <v>3</v>
      </c>
      <c r="GQ2" s="15">
        <v>3</v>
      </c>
      <c r="GR2" s="15">
        <v>4</v>
      </c>
      <c r="GS2" s="15">
        <v>2</v>
      </c>
      <c r="GT2" s="15">
        <v>4</v>
      </c>
      <c r="GU2" s="15">
        <v>3</v>
      </c>
      <c r="GV2" s="15">
        <v>4</v>
      </c>
      <c r="GW2" s="15">
        <v>1</v>
      </c>
      <c r="GX2" s="15">
        <v>4</v>
      </c>
      <c r="GY2" s="15">
        <v>5</v>
      </c>
      <c r="GZ2" s="15">
        <v>5</v>
      </c>
      <c r="HA2" s="15">
        <v>1</v>
      </c>
      <c r="HB2" s="15">
        <v>4</v>
      </c>
      <c r="HC2" s="15">
        <v>1</v>
      </c>
      <c r="HD2" s="15">
        <v>3</v>
      </c>
      <c r="HE2" s="15">
        <v>2</v>
      </c>
      <c r="HF2" s="15">
        <v>2</v>
      </c>
      <c r="HG2" s="15">
        <v>1</v>
      </c>
      <c r="HH2" s="15">
        <v>2</v>
      </c>
      <c r="HI2" s="15">
        <v>5</v>
      </c>
      <c r="HJ2" s="15">
        <v>3</v>
      </c>
      <c r="HK2" s="15">
        <v>1</v>
      </c>
      <c r="HL2" s="15">
        <v>3</v>
      </c>
      <c r="HM2" s="15">
        <v>3</v>
      </c>
      <c r="HN2" s="15">
        <v>1</v>
      </c>
      <c r="HO2" s="15">
        <v>2</v>
      </c>
      <c r="HP2" s="15">
        <v>1</v>
      </c>
      <c r="HQ2" s="15">
        <v>5</v>
      </c>
      <c r="HR2" s="15">
        <v>2</v>
      </c>
      <c r="HS2" s="15">
        <v>3</v>
      </c>
      <c r="HT2" s="15">
        <v>4</v>
      </c>
      <c r="HU2" s="15">
        <v>3</v>
      </c>
      <c r="HV2" s="15">
        <v>4</v>
      </c>
      <c r="HW2" s="15">
        <v>1.25</v>
      </c>
      <c r="HX2" s="15">
        <v>2.25</v>
      </c>
      <c r="HY2" s="15">
        <v>4.5</v>
      </c>
      <c r="HZ2" s="15">
        <v>2.5</v>
      </c>
      <c r="IA2" s="15">
        <v>2</v>
      </c>
      <c r="IB2" s="15">
        <v>2</v>
      </c>
      <c r="IC2" s="15">
        <v>4</v>
      </c>
      <c r="ID2" s="15">
        <v>2</v>
      </c>
      <c r="IE2" s="15">
        <v>4</v>
      </c>
      <c r="IF2" s="15">
        <v>4.75</v>
      </c>
      <c r="IG2" s="15">
        <v>3.5</v>
      </c>
      <c r="IH2" s="15">
        <v>3</v>
      </c>
      <c r="II2" s="15">
        <v>1.5</v>
      </c>
      <c r="IJ2" s="15">
        <v>1.25</v>
      </c>
      <c r="IK2" s="15">
        <v>2.5</v>
      </c>
      <c r="IL2" s="15">
        <v>2.25</v>
      </c>
      <c r="IM2" s="15">
        <v>1.5</v>
      </c>
      <c r="IN2" s="15">
        <v>2.75</v>
      </c>
      <c r="IO2" s="15">
        <v>3</v>
      </c>
      <c r="IP2" s="15">
        <v>1.5</v>
      </c>
      <c r="IQ2" s="15">
        <v>3</v>
      </c>
      <c r="IR2" s="15">
        <v>1.5</v>
      </c>
      <c r="IS2" s="15">
        <v>4</v>
      </c>
      <c r="IT2" s="15">
        <v>3</v>
      </c>
      <c r="IU2" s="15">
        <v>2</v>
      </c>
      <c r="IV2" s="15">
        <v>5</v>
      </c>
      <c r="IW2" s="15">
        <v>4</v>
      </c>
      <c r="IX2" s="15">
        <v>4.25</v>
      </c>
      <c r="IY2" s="15">
        <v>4.5</v>
      </c>
      <c r="IZ2" s="15">
        <v>4</v>
      </c>
      <c r="JA2" s="12"/>
    </row>
    <row r="3" spans="1:261" s="15" customFormat="1" x14ac:dyDescent="0.3">
      <c r="A3" s="15">
        <v>3</v>
      </c>
      <c r="B3" s="15" t="s">
        <v>469</v>
      </c>
      <c r="C3" s="16">
        <v>21</v>
      </c>
      <c r="D3" s="15" t="s">
        <v>258</v>
      </c>
      <c r="E3" s="15" t="s">
        <v>259</v>
      </c>
      <c r="F3" s="15" t="s">
        <v>260</v>
      </c>
      <c r="G3" s="15" t="s">
        <v>268</v>
      </c>
      <c r="H3" s="15" t="s">
        <v>269</v>
      </c>
      <c r="I3" s="15" t="s">
        <v>270</v>
      </c>
      <c r="J3" s="15" t="s">
        <v>271</v>
      </c>
      <c r="K3" s="15" t="s">
        <v>272</v>
      </c>
      <c r="L3" s="15" t="s">
        <v>273</v>
      </c>
      <c r="M3" s="15" t="s">
        <v>274</v>
      </c>
      <c r="AD3" s="15">
        <v>0</v>
      </c>
      <c r="AE3" s="15">
        <v>1</v>
      </c>
      <c r="AF3" s="15">
        <v>3.8909099999999999</v>
      </c>
      <c r="AG3" s="15">
        <v>0</v>
      </c>
      <c r="AH3" s="15">
        <v>0</v>
      </c>
      <c r="AO3" s="15">
        <v>0</v>
      </c>
      <c r="AP3" s="15">
        <v>1</v>
      </c>
      <c r="AQ3" s="15">
        <v>11.88232</v>
      </c>
      <c r="AR3" s="15">
        <v>0.55500000000000005</v>
      </c>
      <c r="AS3" s="15">
        <v>0</v>
      </c>
      <c r="AZ3" s="15">
        <v>0</v>
      </c>
      <c r="BA3" s="15">
        <v>1</v>
      </c>
      <c r="BB3" s="15">
        <v>6.2943800000000003</v>
      </c>
      <c r="BC3" s="15">
        <v>0</v>
      </c>
      <c r="BD3" s="15">
        <v>0</v>
      </c>
      <c r="BK3" s="15">
        <v>0</v>
      </c>
      <c r="BL3" s="15">
        <v>1</v>
      </c>
      <c r="BM3" s="15">
        <v>10.7803</v>
      </c>
      <c r="BN3" s="15">
        <v>0</v>
      </c>
      <c r="BS3" s="15">
        <v>0</v>
      </c>
      <c r="BT3" s="15">
        <v>1</v>
      </c>
      <c r="BU3" s="15">
        <v>33.997399999999999</v>
      </c>
      <c r="BV3" s="15">
        <v>0</v>
      </c>
      <c r="BW3" s="15">
        <v>0</v>
      </c>
      <c r="CK3" s="15">
        <f t="shared" si="0"/>
        <v>66.845309999999998</v>
      </c>
      <c r="CL3" s="15">
        <v>0</v>
      </c>
      <c r="CM3" s="15">
        <v>0</v>
      </c>
      <c r="CN3" s="15">
        <v>0</v>
      </c>
      <c r="CO3" s="15">
        <v>0</v>
      </c>
      <c r="CP3" s="15">
        <v>0</v>
      </c>
      <c r="CQ3" s="15">
        <v>0</v>
      </c>
      <c r="CR3" s="15">
        <v>0.79166666666666663</v>
      </c>
      <c r="CS3" s="15">
        <v>0.66363636363636369</v>
      </c>
      <c r="CT3" s="15">
        <v>2</v>
      </c>
      <c r="CU3" s="15">
        <v>300</v>
      </c>
      <c r="CV3" s="15">
        <v>930</v>
      </c>
      <c r="CW3" s="15">
        <v>2</v>
      </c>
      <c r="DD3" s="15">
        <v>0</v>
      </c>
      <c r="DE3" s="15">
        <v>0</v>
      </c>
      <c r="DF3" s="15">
        <v>5</v>
      </c>
      <c r="DG3" s="15">
        <v>4</v>
      </c>
      <c r="DH3" s="15">
        <v>4</v>
      </c>
      <c r="DI3" s="15">
        <v>3</v>
      </c>
      <c r="DJ3" s="15">
        <v>4</v>
      </c>
      <c r="DK3" s="15">
        <v>2</v>
      </c>
      <c r="DL3" s="15">
        <v>5</v>
      </c>
      <c r="DM3" s="15">
        <v>5</v>
      </c>
      <c r="DN3" s="15">
        <v>1</v>
      </c>
      <c r="DO3" s="15">
        <v>4</v>
      </c>
      <c r="DP3" s="15">
        <v>3</v>
      </c>
      <c r="DQ3" s="15">
        <v>4</v>
      </c>
      <c r="DR3" s="15">
        <v>5</v>
      </c>
      <c r="DS3" s="15">
        <v>5</v>
      </c>
      <c r="DT3" s="15">
        <v>5</v>
      </c>
      <c r="DU3" s="15">
        <v>3</v>
      </c>
      <c r="DV3" s="15">
        <v>4</v>
      </c>
      <c r="DW3" s="15">
        <v>5</v>
      </c>
      <c r="DX3" s="15">
        <v>1</v>
      </c>
      <c r="DY3" s="15">
        <v>3</v>
      </c>
      <c r="DZ3" s="15">
        <v>3</v>
      </c>
      <c r="EA3" s="15">
        <v>5</v>
      </c>
      <c r="EB3" s="15">
        <v>3</v>
      </c>
      <c r="EC3" s="15">
        <v>1</v>
      </c>
      <c r="ED3" s="15">
        <v>2</v>
      </c>
      <c r="EE3" s="15">
        <v>2</v>
      </c>
      <c r="EF3" s="15">
        <v>3</v>
      </c>
      <c r="EG3" s="15">
        <v>4</v>
      </c>
      <c r="EH3" s="15">
        <v>4</v>
      </c>
      <c r="EI3" s="15">
        <v>4</v>
      </c>
      <c r="EJ3" s="15">
        <v>3</v>
      </c>
      <c r="EK3" s="15">
        <v>4</v>
      </c>
      <c r="EL3" s="15">
        <v>3</v>
      </c>
      <c r="EM3" s="15">
        <v>4</v>
      </c>
      <c r="EN3" s="15">
        <v>3</v>
      </c>
      <c r="EO3" s="15">
        <v>2</v>
      </c>
      <c r="EP3" s="15">
        <v>5</v>
      </c>
      <c r="EQ3" s="15">
        <v>5</v>
      </c>
      <c r="ER3" s="15">
        <v>1</v>
      </c>
      <c r="ES3" s="15">
        <v>1</v>
      </c>
      <c r="ET3" s="15">
        <v>1</v>
      </c>
      <c r="EU3" s="15">
        <v>1</v>
      </c>
      <c r="EV3" s="15">
        <v>4</v>
      </c>
      <c r="EW3" s="15">
        <v>5</v>
      </c>
      <c r="EX3" s="15">
        <v>5</v>
      </c>
      <c r="EY3" s="15">
        <v>5</v>
      </c>
      <c r="EZ3" s="15">
        <v>5</v>
      </c>
      <c r="FA3" s="15">
        <v>2</v>
      </c>
      <c r="FB3" s="15">
        <v>1</v>
      </c>
      <c r="FC3" s="15">
        <v>3</v>
      </c>
      <c r="FD3" s="15">
        <v>2</v>
      </c>
      <c r="FE3" s="15">
        <v>5</v>
      </c>
      <c r="FF3" s="15">
        <v>2</v>
      </c>
      <c r="FG3" s="15">
        <v>3</v>
      </c>
      <c r="FH3" s="15">
        <v>4</v>
      </c>
      <c r="FI3" s="15">
        <v>2</v>
      </c>
      <c r="FJ3" s="15">
        <v>4</v>
      </c>
      <c r="FK3" s="15">
        <v>5</v>
      </c>
      <c r="FL3" s="15">
        <v>5</v>
      </c>
      <c r="FM3" s="15">
        <v>4</v>
      </c>
      <c r="FN3" s="15">
        <v>2</v>
      </c>
      <c r="FO3" s="15">
        <v>2</v>
      </c>
      <c r="FP3" s="15">
        <v>4</v>
      </c>
      <c r="FQ3" s="15">
        <v>4</v>
      </c>
      <c r="FR3" s="15">
        <v>4</v>
      </c>
      <c r="FS3" s="15">
        <v>3</v>
      </c>
      <c r="FT3" s="15">
        <v>3</v>
      </c>
      <c r="FU3" s="15">
        <v>4</v>
      </c>
      <c r="FV3" s="15">
        <v>4</v>
      </c>
      <c r="FW3" s="15">
        <v>1</v>
      </c>
      <c r="FX3" s="15">
        <v>1</v>
      </c>
      <c r="FY3" s="15">
        <v>3</v>
      </c>
      <c r="FZ3" s="15">
        <v>4</v>
      </c>
      <c r="GA3" s="15">
        <v>2</v>
      </c>
      <c r="GB3" s="15">
        <v>2</v>
      </c>
      <c r="GC3" s="15">
        <v>3</v>
      </c>
      <c r="GD3" s="15">
        <v>2</v>
      </c>
      <c r="GE3" s="15">
        <v>5</v>
      </c>
      <c r="GF3" s="15">
        <v>3</v>
      </c>
      <c r="GG3" s="15">
        <v>1</v>
      </c>
      <c r="GH3" s="15">
        <v>1</v>
      </c>
      <c r="GI3" s="15">
        <v>3</v>
      </c>
      <c r="GJ3" s="15">
        <v>4</v>
      </c>
      <c r="GK3" s="15">
        <v>1</v>
      </c>
      <c r="GL3" s="15">
        <v>1</v>
      </c>
      <c r="GM3" s="15">
        <v>2</v>
      </c>
      <c r="GN3" s="15">
        <v>3</v>
      </c>
      <c r="GO3" s="15">
        <v>5</v>
      </c>
      <c r="GP3" s="15">
        <v>1</v>
      </c>
      <c r="GQ3" s="15">
        <v>2</v>
      </c>
      <c r="GR3" s="15">
        <v>2</v>
      </c>
      <c r="GS3" s="15">
        <v>4</v>
      </c>
      <c r="GT3" s="15">
        <v>2</v>
      </c>
      <c r="GU3" s="15">
        <v>5</v>
      </c>
      <c r="GV3" s="15">
        <v>3</v>
      </c>
      <c r="GW3" s="15">
        <v>4</v>
      </c>
      <c r="GX3" s="15">
        <v>3</v>
      </c>
      <c r="GY3" s="15">
        <v>4</v>
      </c>
      <c r="GZ3" s="15">
        <v>2</v>
      </c>
      <c r="HA3" s="15">
        <v>1</v>
      </c>
      <c r="HB3" s="15">
        <v>1</v>
      </c>
      <c r="HC3" s="15">
        <v>5</v>
      </c>
      <c r="HD3" s="15">
        <v>3</v>
      </c>
      <c r="HE3" s="15">
        <v>1</v>
      </c>
      <c r="HF3" s="15">
        <v>1</v>
      </c>
      <c r="HG3" s="15">
        <v>2</v>
      </c>
      <c r="HH3" s="15">
        <v>1</v>
      </c>
      <c r="HI3" s="15">
        <v>4</v>
      </c>
      <c r="HJ3" s="15">
        <v>2</v>
      </c>
      <c r="HK3" s="15">
        <v>1</v>
      </c>
      <c r="HL3" s="15">
        <v>1</v>
      </c>
      <c r="HM3" s="15">
        <v>4</v>
      </c>
      <c r="HN3" s="15">
        <v>2</v>
      </c>
      <c r="HO3" s="15">
        <v>2</v>
      </c>
      <c r="HP3" s="15">
        <v>1</v>
      </c>
      <c r="HQ3" s="15">
        <v>2</v>
      </c>
      <c r="HR3" s="15">
        <v>4</v>
      </c>
      <c r="HS3" s="15">
        <v>5</v>
      </c>
      <c r="HT3" s="15">
        <v>4</v>
      </c>
      <c r="HU3" s="15">
        <v>2</v>
      </c>
      <c r="HV3" s="15">
        <v>1</v>
      </c>
      <c r="HW3" s="15">
        <v>3.75</v>
      </c>
      <c r="HX3" s="15">
        <v>4.75</v>
      </c>
      <c r="HY3" s="15">
        <v>4.25</v>
      </c>
      <c r="HZ3" s="15">
        <v>4</v>
      </c>
      <c r="IA3" s="15">
        <v>3.5</v>
      </c>
      <c r="IB3" s="15">
        <v>3.25</v>
      </c>
      <c r="IC3" s="15">
        <v>3.5</v>
      </c>
      <c r="ID3" s="15">
        <v>2.5</v>
      </c>
      <c r="IE3" s="15">
        <v>2</v>
      </c>
      <c r="IF3" s="15">
        <v>3.75</v>
      </c>
      <c r="IG3" s="15">
        <v>3</v>
      </c>
      <c r="IH3" s="15">
        <v>2.25</v>
      </c>
      <c r="II3" s="15">
        <v>4</v>
      </c>
      <c r="IJ3" s="15">
        <v>3.75</v>
      </c>
      <c r="IK3" s="15">
        <v>3</v>
      </c>
      <c r="IL3" s="15">
        <v>4</v>
      </c>
      <c r="IM3" s="15">
        <v>4</v>
      </c>
      <c r="IN3" s="15">
        <v>4.25</v>
      </c>
      <c r="IO3" s="15">
        <v>4</v>
      </c>
      <c r="IP3" s="15">
        <v>4</v>
      </c>
      <c r="IQ3" s="15">
        <v>4.5</v>
      </c>
      <c r="IR3" s="15">
        <v>4</v>
      </c>
      <c r="IS3" s="15">
        <v>4</v>
      </c>
      <c r="IT3" s="15">
        <v>4</v>
      </c>
      <c r="IU3" s="15">
        <v>3.5</v>
      </c>
      <c r="IV3" s="15">
        <v>5</v>
      </c>
      <c r="IW3" s="15">
        <v>4.75</v>
      </c>
      <c r="IX3" s="15">
        <v>5</v>
      </c>
      <c r="IY3" s="15">
        <v>4.5</v>
      </c>
      <c r="IZ3" s="15">
        <v>4.25</v>
      </c>
      <c r="JA3" s="12"/>
    </row>
    <row r="4" spans="1:261" s="15" customFormat="1" x14ac:dyDescent="0.3">
      <c r="A4" s="15">
        <v>4</v>
      </c>
      <c r="B4" s="15" t="s">
        <v>469</v>
      </c>
      <c r="C4" s="16">
        <v>23</v>
      </c>
      <c r="D4" s="15" t="s">
        <v>258</v>
      </c>
      <c r="E4" s="15" t="s">
        <v>259</v>
      </c>
      <c r="F4" s="15" t="s">
        <v>260</v>
      </c>
      <c r="G4" s="15" t="s">
        <v>268</v>
      </c>
      <c r="H4" s="15" t="s">
        <v>269</v>
      </c>
      <c r="I4" s="15" t="s">
        <v>275</v>
      </c>
      <c r="J4" s="15" t="s">
        <v>276</v>
      </c>
      <c r="K4" s="15" t="s">
        <v>277</v>
      </c>
      <c r="L4" s="15" t="s">
        <v>278</v>
      </c>
      <c r="M4" s="15" t="s">
        <v>279</v>
      </c>
      <c r="N4" s="15">
        <v>1</v>
      </c>
      <c r="O4" s="15">
        <v>0.66666666699999999</v>
      </c>
      <c r="P4" s="15">
        <v>7.9066229999999997</v>
      </c>
      <c r="Q4" s="15">
        <v>0.6</v>
      </c>
      <c r="V4" s="15">
        <v>2</v>
      </c>
      <c r="W4" s="15">
        <v>1</v>
      </c>
      <c r="X4" s="15">
        <v>24.353812000000001</v>
      </c>
      <c r="Y4" s="15">
        <v>3.55</v>
      </c>
      <c r="AD4" s="15">
        <v>0</v>
      </c>
      <c r="AE4" s="15">
        <v>1</v>
      </c>
      <c r="AF4" s="15">
        <v>14.353303</v>
      </c>
      <c r="AG4" s="15">
        <v>0</v>
      </c>
      <c r="AH4" s="15">
        <v>0</v>
      </c>
      <c r="AO4" s="15">
        <v>0</v>
      </c>
      <c r="AP4" s="15">
        <v>1</v>
      </c>
      <c r="AQ4" s="15">
        <v>18.425615000000001</v>
      </c>
      <c r="AR4" s="15">
        <v>0.2</v>
      </c>
      <c r="AS4" s="15">
        <v>0</v>
      </c>
      <c r="AZ4" s="15">
        <v>0</v>
      </c>
      <c r="BA4" s="15">
        <v>1</v>
      </c>
      <c r="BB4" s="15">
        <v>5.4467169999999996</v>
      </c>
      <c r="BC4" s="15">
        <v>0</v>
      </c>
      <c r="BD4" s="15">
        <v>0</v>
      </c>
      <c r="BK4" s="15">
        <v>0</v>
      </c>
      <c r="BL4" s="15">
        <v>1</v>
      </c>
      <c r="BM4" s="15">
        <v>12.537616</v>
      </c>
      <c r="BN4" s="15">
        <v>0</v>
      </c>
      <c r="BS4" s="15">
        <v>0</v>
      </c>
      <c r="BT4" s="15">
        <v>1</v>
      </c>
      <c r="BU4" s="15">
        <v>85.616912999999997</v>
      </c>
      <c r="BV4" s="15">
        <v>0</v>
      </c>
      <c r="BW4" s="15">
        <v>0</v>
      </c>
      <c r="CK4" s="15">
        <f t="shared" si="0"/>
        <v>168.64059900000001</v>
      </c>
      <c r="CL4" s="15">
        <f>2/8</f>
        <v>0.25</v>
      </c>
      <c r="CM4" s="15">
        <v>0</v>
      </c>
      <c r="CN4" s="15">
        <v>0</v>
      </c>
      <c r="CO4" s="15">
        <v>0</v>
      </c>
      <c r="CP4" s="15">
        <v>0</v>
      </c>
      <c r="CQ4" s="15">
        <v>1</v>
      </c>
      <c r="CR4" s="15">
        <v>0.16666666666666666</v>
      </c>
      <c r="CS4" s="15">
        <v>0.24545454545454545</v>
      </c>
      <c r="CT4" s="15">
        <v>0</v>
      </c>
      <c r="CU4" s="15">
        <v>98</v>
      </c>
      <c r="CV4" s="15">
        <v>270</v>
      </c>
      <c r="CW4" s="15">
        <v>0</v>
      </c>
      <c r="DD4" s="15">
        <v>0</v>
      </c>
      <c r="DE4" s="15">
        <v>0</v>
      </c>
      <c r="DF4" s="15">
        <v>4</v>
      </c>
      <c r="DG4" s="15">
        <v>3</v>
      </c>
      <c r="DH4" s="15">
        <v>5</v>
      </c>
      <c r="DI4" s="15">
        <v>3</v>
      </c>
      <c r="DJ4" s="15">
        <v>4</v>
      </c>
      <c r="DK4" s="15">
        <v>3</v>
      </c>
      <c r="DL4" s="15">
        <v>2</v>
      </c>
      <c r="DM4" s="15">
        <v>4</v>
      </c>
      <c r="DN4" s="15">
        <v>1</v>
      </c>
      <c r="DO4" s="15">
        <v>3</v>
      </c>
      <c r="DP4" s="15">
        <v>3</v>
      </c>
      <c r="DQ4" s="15">
        <v>2</v>
      </c>
      <c r="DR4" s="15">
        <v>4</v>
      </c>
      <c r="DS4" s="15">
        <v>5</v>
      </c>
      <c r="DT4" s="15">
        <v>4</v>
      </c>
      <c r="DU4" s="15">
        <v>4</v>
      </c>
      <c r="DV4" s="15">
        <v>2</v>
      </c>
      <c r="DW4" s="15">
        <v>4</v>
      </c>
      <c r="DX4" s="15">
        <v>1</v>
      </c>
      <c r="DY4" s="15">
        <v>4</v>
      </c>
      <c r="DZ4" s="15">
        <v>2</v>
      </c>
      <c r="EA4" s="15">
        <v>4</v>
      </c>
      <c r="EB4" s="15">
        <v>3</v>
      </c>
      <c r="EC4" s="15">
        <v>2</v>
      </c>
      <c r="ED4" s="15">
        <v>3</v>
      </c>
      <c r="EE4" s="15">
        <v>4</v>
      </c>
      <c r="EF4" s="15">
        <v>4</v>
      </c>
      <c r="EG4" s="15">
        <v>3</v>
      </c>
      <c r="EH4" s="15">
        <v>4</v>
      </c>
      <c r="EI4" s="15">
        <v>1</v>
      </c>
      <c r="EJ4" s="15">
        <v>4</v>
      </c>
      <c r="EK4" s="15">
        <v>3</v>
      </c>
      <c r="EL4" s="15">
        <v>5</v>
      </c>
      <c r="EM4" s="15">
        <v>3</v>
      </c>
      <c r="EN4" s="15">
        <v>4</v>
      </c>
      <c r="EO4" s="15">
        <v>3</v>
      </c>
      <c r="EP4" s="15">
        <v>2</v>
      </c>
      <c r="EQ4" s="15">
        <v>4</v>
      </c>
      <c r="ER4" s="15">
        <v>1</v>
      </c>
      <c r="ES4" s="15">
        <v>5</v>
      </c>
      <c r="ET4" s="15">
        <v>2</v>
      </c>
      <c r="EU4" s="15">
        <v>3</v>
      </c>
      <c r="EV4" s="15">
        <v>4</v>
      </c>
      <c r="EW4" s="15">
        <v>4</v>
      </c>
      <c r="EX4" s="15">
        <v>4</v>
      </c>
      <c r="EY4" s="15">
        <v>4</v>
      </c>
      <c r="EZ4" s="15">
        <v>2</v>
      </c>
      <c r="FA4" s="15">
        <v>3</v>
      </c>
      <c r="FB4" s="15">
        <v>1</v>
      </c>
      <c r="FC4" s="15">
        <v>5</v>
      </c>
      <c r="FD4" s="15">
        <v>2</v>
      </c>
      <c r="FE4" s="15">
        <v>3</v>
      </c>
      <c r="FF4" s="15">
        <v>1</v>
      </c>
      <c r="FG4" s="15">
        <v>3</v>
      </c>
      <c r="FH4" s="15">
        <v>2</v>
      </c>
      <c r="FI4" s="15">
        <v>4</v>
      </c>
      <c r="FJ4" s="15">
        <v>4</v>
      </c>
      <c r="FK4" s="15">
        <v>4</v>
      </c>
      <c r="FL4" s="15">
        <v>4</v>
      </c>
      <c r="FM4" s="15">
        <v>3</v>
      </c>
      <c r="FN4" s="15">
        <v>2</v>
      </c>
      <c r="FO4" s="15">
        <v>2</v>
      </c>
      <c r="FP4" s="15">
        <v>5</v>
      </c>
      <c r="FQ4" s="15">
        <v>3</v>
      </c>
      <c r="FR4" s="15">
        <v>3</v>
      </c>
      <c r="FS4" s="15">
        <v>2</v>
      </c>
      <c r="FT4" s="15">
        <v>4</v>
      </c>
      <c r="FU4" s="15">
        <v>2</v>
      </c>
      <c r="FV4" s="15">
        <v>4</v>
      </c>
      <c r="FW4" s="15">
        <v>2</v>
      </c>
      <c r="FX4" s="15">
        <v>5</v>
      </c>
      <c r="FY4" s="15">
        <v>4</v>
      </c>
      <c r="FZ4" s="15">
        <v>3</v>
      </c>
      <c r="GA4" s="15">
        <v>4</v>
      </c>
      <c r="GB4" s="15">
        <v>1</v>
      </c>
      <c r="GC4" s="15">
        <v>2</v>
      </c>
      <c r="GD4" s="15">
        <v>5</v>
      </c>
      <c r="GE4" s="15">
        <v>3</v>
      </c>
      <c r="GF4" s="15">
        <v>2</v>
      </c>
      <c r="GG4" s="15">
        <v>2</v>
      </c>
      <c r="GH4" s="15">
        <v>2</v>
      </c>
      <c r="GI4" s="15">
        <v>4</v>
      </c>
      <c r="GJ4" s="15">
        <v>2</v>
      </c>
      <c r="GK4" s="15">
        <v>1</v>
      </c>
      <c r="GL4" s="15">
        <v>3</v>
      </c>
      <c r="GM4" s="15">
        <v>4</v>
      </c>
      <c r="GN4" s="15">
        <v>3</v>
      </c>
      <c r="GO4" s="15">
        <v>4</v>
      </c>
      <c r="GP4" s="15">
        <v>3</v>
      </c>
      <c r="GQ4" s="15">
        <v>2</v>
      </c>
      <c r="GR4" s="15">
        <v>2</v>
      </c>
      <c r="GS4" s="15">
        <v>2</v>
      </c>
      <c r="GT4" s="15">
        <v>4</v>
      </c>
      <c r="GU4" s="15">
        <v>4</v>
      </c>
      <c r="GV4" s="15">
        <v>4</v>
      </c>
      <c r="GW4" s="15">
        <v>4</v>
      </c>
      <c r="GX4" s="15">
        <v>3</v>
      </c>
      <c r="GY4" s="15">
        <v>4</v>
      </c>
      <c r="GZ4" s="15">
        <v>3</v>
      </c>
      <c r="HA4" s="15">
        <v>2</v>
      </c>
      <c r="HB4" s="15">
        <v>2</v>
      </c>
      <c r="HC4" s="15">
        <v>3</v>
      </c>
      <c r="HD4" s="15">
        <v>3</v>
      </c>
      <c r="HE4" s="15">
        <v>2</v>
      </c>
      <c r="HF4" s="15">
        <v>1</v>
      </c>
      <c r="HG4" s="15">
        <v>2</v>
      </c>
      <c r="HH4" s="15">
        <v>3</v>
      </c>
      <c r="HI4" s="15">
        <v>5</v>
      </c>
      <c r="HJ4" s="15">
        <v>2</v>
      </c>
      <c r="HK4" s="15">
        <v>3</v>
      </c>
      <c r="HL4" s="15">
        <v>1</v>
      </c>
      <c r="HM4" s="15">
        <v>4</v>
      </c>
      <c r="HN4" s="15">
        <v>2</v>
      </c>
      <c r="HO4" s="15">
        <v>1</v>
      </c>
      <c r="HP4" s="15">
        <v>1</v>
      </c>
      <c r="HQ4" s="15">
        <v>5</v>
      </c>
      <c r="HR4" s="15">
        <v>3</v>
      </c>
      <c r="HS4" s="15">
        <v>4</v>
      </c>
      <c r="HT4" s="15">
        <v>2</v>
      </c>
      <c r="HU4" s="15">
        <v>3</v>
      </c>
      <c r="HV4" s="15">
        <v>2</v>
      </c>
      <c r="HW4" s="15">
        <v>3.75</v>
      </c>
      <c r="HX4" s="15">
        <v>2.25</v>
      </c>
      <c r="HY4" s="15">
        <v>4</v>
      </c>
      <c r="HZ4" s="15">
        <v>4.5</v>
      </c>
      <c r="IA4" s="15">
        <v>2</v>
      </c>
      <c r="IB4" s="15">
        <v>4</v>
      </c>
      <c r="IC4" s="15">
        <v>3</v>
      </c>
      <c r="ID4" s="15">
        <v>2.75</v>
      </c>
      <c r="IE4" s="15">
        <v>3</v>
      </c>
      <c r="IF4" s="15">
        <v>4</v>
      </c>
      <c r="IG4" s="15">
        <v>2.5</v>
      </c>
      <c r="IH4" s="15">
        <v>3.5</v>
      </c>
      <c r="II4" s="15">
        <v>3</v>
      </c>
      <c r="IJ4" s="15">
        <v>2</v>
      </c>
      <c r="IK4" s="15">
        <v>2.75</v>
      </c>
      <c r="IL4" s="15">
        <v>2</v>
      </c>
      <c r="IM4" s="15">
        <v>2.75</v>
      </c>
      <c r="IN4" s="15">
        <v>4</v>
      </c>
      <c r="IO4" s="15">
        <v>4.75</v>
      </c>
      <c r="IP4" s="15">
        <v>3.75</v>
      </c>
      <c r="IQ4" s="15">
        <v>3.5</v>
      </c>
      <c r="IR4" s="15">
        <v>3.75</v>
      </c>
      <c r="IS4" s="15">
        <v>4.5</v>
      </c>
      <c r="IT4" s="15">
        <v>3.5</v>
      </c>
      <c r="IU4" s="15">
        <v>2.75</v>
      </c>
      <c r="IV4" s="15">
        <v>4.5</v>
      </c>
      <c r="IW4" s="15">
        <v>4.75</v>
      </c>
      <c r="IX4" s="15">
        <v>4.25</v>
      </c>
      <c r="IY4" s="15">
        <v>3.75</v>
      </c>
      <c r="IZ4" s="15">
        <v>3.75</v>
      </c>
      <c r="JA4" s="12"/>
    </row>
    <row r="5" spans="1:261" s="15" customFormat="1" x14ac:dyDescent="0.3">
      <c r="A5" s="15">
        <v>5</v>
      </c>
      <c r="B5" s="15" t="s">
        <v>469</v>
      </c>
      <c r="C5" s="16">
        <v>22</v>
      </c>
      <c r="D5" s="15" t="s">
        <v>258</v>
      </c>
      <c r="E5" s="15" t="s">
        <v>259</v>
      </c>
      <c r="F5" s="15" t="s">
        <v>260</v>
      </c>
      <c r="G5" s="15" t="s">
        <v>268</v>
      </c>
      <c r="H5" s="15" t="s">
        <v>269</v>
      </c>
      <c r="I5" s="15" t="s">
        <v>280</v>
      </c>
      <c r="J5" s="15" t="s">
        <v>280</v>
      </c>
      <c r="K5" s="15" t="s">
        <v>265</v>
      </c>
      <c r="L5" s="15" t="s">
        <v>281</v>
      </c>
      <c r="M5" s="15" t="s">
        <v>282</v>
      </c>
      <c r="R5" s="15">
        <v>1</v>
      </c>
      <c r="S5" s="15">
        <v>0</v>
      </c>
      <c r="T5" s="15">
        <v>4.518078</v>
      </c>
      <c r="U5" s="15">
        <v>0</v>
      </c>
      <c r="V5" s="15">
        <v>0</v>
      </c>
      <c r="W5" s="15">
        <v>0</v>
      </c>
      <c r="X5" s="15">
        <v>8.0098939999999992</v>
      </c>
      <c r="Y5" s="15">
        <v>0</v>
      </c>
      <c r="AD5" s="15">
        <v>0</v>
      </c>
      <c r="AE5" s="15">
        <v>1</v>
      </c>
      <c r="AF5" s="15">
        <v>10.795161</v>
      </c>
      <c r="AG5" s="15">
        <v>0</v>
      </c>
      <c r="AH5" s="15">
        <v>0</v>
      </c>
      <c r="AO5" s="15">
        <v>0</v>
      </c>
      <c r="AP5" s="15">
        <v>1</v>
      </c>
      <c r="AQ5" s="15">
        <v>9.7450270000000003</v>
      </c>
      <c r="AR5" s="15">
        <v>0.51249999999999996</v>
      </c>
      <c r="AS5" s="15">
        <v>0</v>
      </c>
      <c r="AZ5" s="15">
        <v>0</v>
      </c>
      <c r="BA5" s="15">
        <v>1</v>
      </c>
      <c r="BB5" s="15">
        <v>5.2453659999999998</v>
      </c>
      <c r="BC5" s="15">
        <v>0</v>
      </c>
      <c r="BD5" s="15">
        <v>1</v>
      </c>
      <c r="BE5" s="15">
        <v>0</v>
      </c>
      <c r="BF5" s="15">
        <v>1</v>
      </c>
      <c r="BK5" s="15">
        <v>0</v>
      </c>
      <c r="BL5" s="15">
        <v>1</v>
      </c>
      <c r="BM5" s="15">
        <v>10.288352</v>
      </c>
      <c r="BN5" s="15">
        <v>0</v>
      </c>
      <c r="BS5" s="15">
        <v>0</v>
      </c>
      <c r="BT5" s="15">
        <v>1</v>
      </c>
      <c r="BU5" s="15">
        <v>30.647966</v>
      </c>
      <c r="BV5" s="15">
        <v>0</v>
      </c>
      <c r="BW5" s="15">
        <v>0</v>
      </c>
      <c r="CK5" s="15">
        <f t="shared" si="0"/>
        <v>79.249843999999996</v>
      </c>
      <c r="CL5" s="15">
        <f>1/8</f>
        <v>0.125</v>
      </c>
      <c r="CM5" s="15">
        <v>0</v>
      </c>
      <c r="CN5" s="15">
        <f>1/5</f>
        <v>0.2</v>
      </c>
      <c r="CO5" s="15">
        <f>1/5</f>
        <v>0.2</v>
      </c>
      <c r="CP5" s="15">
        <v>0</v>
      </c>
      <c r="CQ5" s="15">
        <v>1</v>
      </c>
      <c r="CR5" s="15">
        <v>0.875</v>
      </c>
      <c r="CS5" s="15">
        <v>0.82727272727272727</v>
      </c>
      <c r="CT5" s="15">
        <v>2</v>
      </c>
      <c r="CU5" s="15">
        <v>291</v>
      </c>
      <c r="CV5" s="15">
        <v>1110</v>
      </c>
      <c r="CW5" s="15">
        <v>2</v>
      </c>
      <c r="DD5" s="15">
        <v>0</v>
      </c>
      <c r="DE5" s="15">
        <v>0</v>
      </c>
      <c r="DF5" s="15">
        <v>4</v>
      </c>
      <c r="DG5" s="15">
        <v>3</v>
      </c>
      <c r="DH5" s="15">
        <v>3</v>
      </c>
      <c r="DI5" s="15">
        <v>4</v>
      </c>
      <c r="DJ5" s="15">
        <v>4</v>
      </c>
      <c r="DK5" s="15">
        <v>3</v>
      </c>
      <c r="DL5" s="15">
        <v>2</v>
      </c>
      <c r="DM5" s="15">
        <v>3</v>
      </c>
      <c r="DN5" s="15">
        <v>1</v>
      </c>
      <c r="DO5" s="15">
        <v>4</v>
      </c>
      <c r="DP5" s="15">
        <v>2</v>
      </c>
      <c r="DQ5" s="15">
        <v>3</v>
      </c>
      <c r="DR5" s="15">
        <v>2</v>
      </c>
      <c r="DS5" s="15">
        <v>4</v>
      </c>
      <c r="DT5" s="15">
        <v>5</v>
      </c>
      <c r="DU5" s="15">
        <v>4</v>
      </c>
      <c r="DV5" s="15">
        <v>2</v>
      </c>
      <c r="DW5" s="15">
        <v>2</v>
      </c>
      <c r="DX5" s="15">
        <v>1</v>
      </c>
      <c r="DY5" s="15">
        <v>3</v>
      </c>
      <c r="DZ5" s="15">
        <v>2</v>
      </c>
      <c r="EA5" s="15">
        <v>3</v>
      </c>
      <c r="EB5" s="15">
        <v>1</v>
      </c>
      <c r="EC5" s="15">
        <v>1</v>
      </c>
      <c r="ED5" s="15">
        <v>2</v>
      </c>
      <c r="EE5" s="15">
        <v>3</v>
      </c>
      <c r="EF5" s="15">
        <v>4</v>
      </c>
      <c r="EG5" s="15">
        <v>2</v>
      </c>
      <c r="EH5" s="15">
        <v>3</v>
      </c>
      <c r="EI5" s="15">
        <v>2</v>
      </c>
      <c r="EJ5" s="15">
        <v>4</v>
      </c>
      <c r="EK5" s="15">
        <v>3</v>
      </c>
      <c r="EL5" s="15">
        <v>3</v>
      </c>
      <c r="EM5" s="15">
        <v>3</v>
      </c>
      <c r="EN5" s="15">
        <v>3</v>
      </c>
      <c r="EO5" s="15">
        <v>4</v>
      </c>
      <c r="EP5" s="15">
        <v>1</v>
      </c>
      <c r="EQ5" s="15">
        <v>3</v>
      </c>
      <c r="ER5" s="15">
        <v>2</v>
      </c>
      <c r="ES5" s="15">
        <v>1</v>
      </c>
      <c r="ET5" s="15">
        <v>2</v>
      </c>
      <c r="EU5" s="15">
        <v>2</v>
      </c>
      <c r="EV5" s="15">
        <v>4</v>
      </c>
      <c r="EW5" s="15">
        <v>5</v>
      </c>
      <c r="EX5" s="15">
        <v>4</v>
      </c>
      <c r="EY5" s="15">
        <v>3</v>
      </c>
      <c r="EZ5" s="15">
        <v>2</v>
      </c>
      <c r="FA5" s="15">
        <v>4</v>
      </c>
      <c r="FB5" s="15">
        <v>2</v>
      </c>
      <c r="FC5" s="15">
        <v>3</v>
      </c>
      <c r="FD5" s="15">
        <v>4</v>
      </c>
      <c r="FE5" s="15">
        <v>3</v>
      </c>
      <c r="FF5" s="15">
        <v>5</v>
      </c>
      <c r="FG5" s="15">
        <v>3</v>
      </c>
      <c r="FH5" s="15">
        <v>4</v>
      </c>
      <c r="FI5" s="15">
        <v>3</v>
      </c>
      <c r="FJ5" s="15">
        <v>4</v>
      </c>
      <c r="FK5" s="15">
        <v>4</v>
      </c>
      <c r="FL5" s="15">
        <v>4</v>
      </c>
      <c r="FM5" s="15">
        <v>2</v>
      </c>
      <c r="FN5" s="15">
        <v>2</v>
      </c>
      <c r="FO5" s="15">
        <v>4</v>
      </c>
      <c r="FP5" s="15">
        <v>3</v>
      </c>
      <c r="FQ5" s="15">
        <v>4</v>
      </c>
      <c r="FR5" s="15">
        <v>3</v>
      </c>
      <c r="FS5" s="15">
        <v>2</v>
      </c>
      <c r="FT5" s="15">
        <v>3</v>
      </c>
      <c r="FU5" s="15">
        <v>3</v>
      </c>
      <c r="FV5" s="15">
        <v>4</v>
      </c>
      <c r="FW5" s="15">
        <v>1</v>
      </c>
      <c r="FX5" s="15">
        <v>1</v>
      </c>
      <c r="FY5" s="15">
        <v>2</v>
      </c>
      <c r="FZ5" s="15">
        <v>2</v>
      </c>
      <c r="GA5" s="15">
        <v>3</v>
      </c>
      <c r="GB5" s="15">
        <v>1</v>
      </c>
      <c r="GC5" s="15">
        <v>2</v>
      </c>
      <c r="GD5" s="15">
        <v>4</v>
      </c>
      <c r="GE5" s="15">
        <v>3</v>
      </c>
      <c r="GF5" s="15">
        <v>3</v>
      </c>
      <c r="GG5" s="15">
        <v>2</v>
      </c>
      <c r="GH5" s="15">
        <v>4</v>
      </c>
      <c r="GI5" s="15">
        <v>4</v>
      </c>
      <c r="GJ5" s="15">
        <v>2</v>
      </c>
      <c r="GK5" s="15">
        <v>3</v>
      </c>
      <c r="GL5" s="15">
        <v>4</v>
      </c>
      <c r="GM5" s="15">
        <v>3</v>
      </c>
      <c r="GN5" s="15">
        <v>4</v>
      </c>
      <c r="GO5" s="15">
        <v>5</v>
      </c>
      <c r="GP5" s="15">
        <v>3</v>
      </c>
      <c r="GQ5" s="15">
        <v>2</v>
      </c>
      <c r="GR5" s="15">
        <v>3</v>
      </c>
      <c r="GS5" s="15">
        <v>3</v>
      </c>
      <c r="GT5" s="15">
        <v>3</v>
      </c>
      <c r="GU5" s="15">
        <v>2</v>
      </c>
      <c r="GV5" s="15">
        <v>2</v>
      </c>
      <c r="GW5" s="15">
        <v>3</v>
      </c>
      <c r="GX5" s="15">
        <v>3</v>
      </c>
      <c r="GY5" s="15">
        <v>4</v>
      </c>
      <c r="GZ5" s="15">
        <v>4</v>
      </c>
      <c r="HA5" s="15">
        <v>1</v>
      </c>
      <c r="HB5" s="15">
        <v>2</v>
      </c>
      <c r="HC5" s="15">
        <v>4</v>
      </c>
      <c r="HD5" s="15">
        <v>4</v>
      </c>
      <c r="HE5" s="15">
        <v>2</v>
      </c>
      <c r="HF5" s="15">
        <v>2</v>
      </c>
      <c r="HG5" s="15">
        <v>1</v>
      </c>
      <c r="HH5" s="15">
        <v>3</v>
      </c>
      <c r="HI5" s="15">
        <v>5</v>
      </c>
      <c r="HJ5" s="15">
        <v>4</v>
      </c>
      <c r="HK5" s="15">
        <v>2</v>
      </c>
      <c r="HL5" s="15">
        <v>3</v>
      </c>
      <c r="HM5" s="15">
        <v>4</v>
      </c>
      <c r="HN5" s="15">
        <v>1</v>
      </c>
      <c r="HO5" s="15">
        <v>4</v>
      </c>
      <c r="HP5" s="15">
        <v>2</v>
      </c>
      <c r="HQ5" s="15">
        <v>3</v>
      </c>
      <c r="HR5" s="15">
        <v>2</v>
      </c>
      <c r="HS5" s="15">
        <v>5</v>
      </c>
      <c r="HT5" s="15">
        <v>3</v>
      </c>
      <c r="HU5" s="15">
        <v>4</v>
      </c>
      <c r="HV5" s="15">
        <v>1</v>
      </c>
      <c r="HW5" s="15">
        <v>3.25</v>
      </c>
      <c r="HX5" s="15">
        <v>4.5</v>
      </c>
      <c r="HY5" s="15">
        <v>4.5</v>
      </c>
      <c r="HZ5" s="15">
        <v>2.75</v>
      </c>
      <c r="IA5" s="15">
        <v>3</v>
      </c>
      <c r="IB5" s="15">
        <v>4</v>
      </c>
      <c r="IC5" s="15">
        <v>3.25</v>
      </c>
      <c r="ID5" s="15">
        <v>3</v>
      </c>
      <c r="IE5" s="15">
        <v>2</v>
      </c>
      <c r="IF5" s="15">
        <v>3.5</v>
      </c>
      <c r="IG5" s="15">
        <v>2</v>
      </c>
      <c r="IH5" s="15">
        <v>3.5</v>
      </c>
      <c r="II5" s="15">
        <v>2.75</v>
      </c>
      <c r="IJ5" s="15">
        <v>2</v>
      </c>
      <c r="IK5" s="15">
        <v>2.25</v>
      </c>
      <c r="IL5" s="15">
        <v>2</v>
      </c>
      <c r="IM5" s="15">
        <v>2.25</v>
      </c>
      <c r="IN5" s="15">
        <v>4.5</v>
      </c>
      <c r="IO5" s="15">
        <v>2.75</v>
      </c>
      <c r="IP5" s="15">
        <v>2.75</v>
      </c>
      <c r="IQ5" s="15">
        <v>3.25</v>
      </c>
      <c r="IR5" s="15">
        <v>2.25</v>
      </c>
      <c r="IS5" s="15">
        <v>1.75</v>
      </c>
      <c r="IT5" s="15">
        <v>3</v>
      </c>
      <c r="IU5" s="15">
        <v>3.75</v>
      </c>
      <c r="IV5" s="15">
        <v>4.75</v>
      </c>
      <c r="IW5" s="15">
        <v>4.5</v>
      </c>
      <c r="IX5" s="15">
        <v>4.25</v>
      </c>
      <c r="IY5" s="15">
        <v>3.5</v>
      </c>
      <c r="IZ5" s="15">
        <v>3.25</v>
      </c>
      <c r="JA5" s="12"/>
    </row>
    <row r="6" spans="1:261" s="15" customFormat="1" x14ac:dyDescent="0.3">
      <c r="A6" s="15">
        <v>6</v>
      </c>
      <c r="B6" s="15" t="s">
        <v>469</v>
      </c>
      <c r="C6" s="16">
        <v>28</v>
      </c>
      <c r="D6" s="15" t="s">
        <v>258</v>
      </c>
      <c r="E6" s="15" t="s">
        <v>259</v>
      </c>
      <c r="F6" s="15" t="s">
        <v>260</v>
      </c>
      <c r="G6" s="15" t="s">
        <v>283</v>
      </c>
      <c r="H6" s="15" t="s">
        <v>269</v>
      </c>
      <c r="I6" s="15" t="s">
        <v>280</v>
      </c>
      <c r="J6" s="15" t="s">
        <v>284</v>
      </c>
      <c r="K6" s="15" t="s">
        <v>285</v>
      </c>
      <c r="L6" s="15" t="s">
        <v>286</v>
      </c>
      <c r="M6" s="15" t="s">
        <v>287</v>
      </c>
      <c r="AD6" s="15">
        <v>0</v>
      </c>
      <c r="AE6" s="15">
        <v>1</v>
      </c>
      <c r="AF6" s="15">
        <v>4.8630420000000001</v>
      </c>
      <c r="AG6" s="15">
        <v>0</v>
      </c>
      <c r="AH6" s="15">
        <v>0</v>
      </c>
      <c r="AO6" s="15">
        <v>0</v>
      </c>
      <c r="AP6" s="15">
        <v>1</v>
      </c>
      <c r="AQ6" s="15">
        <v>19.509039999999999</v>
      </c>
      <c r="AR6" s="15">
        <v>0.255</v>
      </c>
      <c r="AS6" s="15">
        <v>0</v>
      </c>
      <c r="AV6" s="15">
        <v>0</v>
      </c>
      <c r="AW6" s="15">
        <v>0.25</v>
      </c>
      <c r="AX6" s="15">
        <v>20.17193</v>
      </c>
      <c r="AY6" s="15">
        <v>0.59250000000000003</v>
      </c>
      <c r="BD6" s="15">
        <v>0</v>
      </c>
      <c r="BK6" s="15">
        <v>0</v>
      </c>
      <c r="BL6" s="15">
        <v>1</v>
      </c>
      <c r="BM6" s="15">
        <v>10.001799999999999</v>
      </c>
      <c r="BN6" s="15">
        <v>0</v>
      </c>
      <c r="BS6" s="15">
        <v>0</v>
      </c>
      <c r="BT6" s="15">
        <v>1</v>
      </c>
      <c r="BU6" s="15">
        <v>27.41216</v>
      </c>
      <c r="BV6" s="15">
        <v>0</v>
      </c>
      <c r="BW6" s="15">
        <v>0</v>
      </c>
      <c r="CK6" s="15">
        <f t="shared" si="0"/>
        <v>81.957971999999998</v>
      </c>
      <c r="CL6" s="15">
        <f>1/8</f>
        <v>0.125</v>
      </c>
      <c r="CM6" s="15">
        <v>0</v>
      </c>
      <c r="CN6" s="15">
        <v>0</v>
      </c>
      <c r="CO6" s="15">
        <v>0</v>
      </c>
      <c r="CP6" s="15">
        <v>0</v>
      </c>
      <c r="CQ6" s="15">
        <v>0</v>
      </c>
      <c r="CR6" s="15">
        <v>0.20833333333333334</v>
      </c>
      <c r="CS6" s="15">
        <v>0.24545454545454545</v>
      </c>
      <c r="CT6" s="15">
        <v>0</v>
      </c>
      <c r="CU6" s="15">
        <v>134</v>
      </c>
      <c r="CV6" s="15">
        <v>270</v>
      </c>
      <c r="CW6" s="15">
        <v>0</v>
      </c>
      <c r="DD6" s="15">
        <v>0</v>
      </c>
      <c r="DE6" s="15">
        <v>0</v>
      </c>
      <c r="DF6" s="15">
        <v>5</v>
      </c>
      <c r="DG6" s="15">
        <v>2</v>
      </c>
      <c r="DH6" s="15">
        <v>5</v>
      </c>
      <c r="DI6" s="15">
        <v>3</v>
      </c>
      <c r="DJ6" s="15">
        <v>3</v>
      </c>
      <c r="DK6" s="15">
        <v>2</v>
      </c>
      <c r="DL6" s="15">
        <v>2</v>
      </c>
      <c r="DM6" s="15">
        <v>5</v>
      </c>
      <c r="DN6" s="15">
        <v>2</v>
      </c>
      <c r="DO6" s="15">
        <v>4</v>
      </c>
      <c r="DP6" s="15">
        <v>5</v>
      </c>
      <c r="DQ6" s="15">
        <v>4</v>
      </c>
      <c r="DR6" s="15">
        <v>2</v>
      </c>
      <c r="DS6" s="15">
        <v>5</v>
      </c>
      <c r="DT6" s="15">
        <v>4</v>
      </c>
      <c r="DU6" s="15">
        <v>4</v>
      </c>
      <c r="DV6" s="15">
        <v>2</v>
      </c>
      <c r="DW6" s="15">
        <v>2</v>
      </c>
      <c r="DX6" s="15">
        <v>1</v>
      </c>
      <c r="DY6" s="15">
        <v>1</v>
      </c>
      <c r="DZ6" s="15">
        <v>4</v>
      </c>
      <c r="EA6" s="15">
        <v>3</v>
      </c>
      <c r="EB6" s="15">
        <v>5</v>
      </c>
      <c r="EC6" s="15">
        <v>3</v>
      </c>
      <c r="ED6" s="15">
        <v>4</v>
      </c>
      <c r="EE6" s="15">
        <v>5</v>
      </c>
      <c r="EF6" s="15">
        <v>1</v>
      </c>
      <c r="EG6" s="15">
        <v>1</v>
      </c>
      <c r="EH6" s="15">
        <v>3</v>
      </c>
      <c r="EI6" s="15">
        <v>1</v>
      </c>
      <c r="EJ6" s="15">
        <v>5</v>
      </c>
      <c r="EK6" s="15">
        <v>4</v>
      </c>
      <c r="EL6" s="15">
        <v>5</v>
      </c>
      <c r="EM6" s="15">
        <v>2</v>
      </c>
      <c r="EN6" s="15">
        <v>1</v>
      </c>
      <c r="EO6" s="15">
        <v>4</v>
      </c>
      <c r="EP6" s="15">
        <v>1</v>
      </c>
      <c r="EQ6" s="15">
        <v>5</v>
      </c>
      <c r="ER6" s="15">
        <v>2</v>
      </c>
      <c r="ES6" s="15">
        <v>4</v>
      </c>
      <c r="ET6" s="15">
        <v>5</v>
      </c>
      <c r="EU6" s="15">
        <v>4</v>
      </c>
      <c r="EV6" s="15">
        <v>5</v>
      </c>
      <c r="EW6" s="15">
        <v>4</v>
      </c>
      <c r="EX6" s="15">
        <v>5</v>
      </c>
      <c r="EY6" s="15">
        <v>4</v>
      </c>
      <c r="EZ6" s="15">
        <v>1</v>
      </c>
      <c r="FA6" s="15">
        <v>4</v>
      </c>
      <c r="FB6" s="15">
        <v>1</v>
      </c>
      <c r="FC6" s="15">
        <v>3</v>
      </c>
      <c r="FD6" s="15">
        <v>2</v>
      </c>
      <c r="FE6" s="15">
        <v>3</v>
      </c>
      <c r="FF6" s="15">
        <v>2</v>
      </c>
      <c r="FG6" s="15">
        <v>4</v>
      </c>
      <c r="FH6" s="15">
        <v>2</v>
      </c>
      <c r="FI6" s="15">
        <v>4</v>
      </c>
      <c r="FJ6" s="15">
        <v>1</v>
      </c>
      <c r="FK6" s="15">
        <v>5</v>
      </c>
      <c r="FL6" s="15">
        <v>5</v>
      </c>
      <c r="FM6" s="15">
        <v>1</v>
      </c>
      <c r="FN6" s="15">
        <v>5</v>
      </c>
      <c r="FO6" s="15">
        <v>2</v>
      </c>
      <c r="FP6" s="15">
        <v>5</v>
      </c>
      <c r="FQ6" s="15">
        <v>3</v>
      </c>
      <c r="FR6" s="15">
        <v>2</v>
      </c>
      <c r="FS6" s="15">
        <v>4</v>
      </c>
      <c r="FT6" s="15">
        <v>2</v>
      </c>
      <c r="FU6" s="15">
        <v>1</v>
      </c>
      <c r="FV6" s="15">
        <v>4</v>
      </c>
      <c r="FW6" s="15">
        <v>4</v>
      </c>
      <c r="FX6" s="15">
        <v>2</v>
      </c>
      <c r="FY6" s="15">
        <v>5</v>
      </c>
      <c r="FZ6" s="15">
        <v>3</v>
      </c>
      <c r="GA6" s="15">
        <v>2</v>
      </c>
      <c r="GB6" s="15">
        <v>2</v>
      </c>
      <c r="GC6" s="15">
        <v>1</v>
      </c>
      <c r="GD6" s="15">
        <v>3</v>
      </c>
      <c r="GE6" s="15">
        <v>1</v>
      </c>
      <c r="GF6" s="15">
        <v>5</v>
      </c>
      <c r="GG6" s="15">
        <v>1</v>
      </c>
      <c r="GH6" s="15">
        <v>5</v>
      </c>
      <c r="GI6" s="15">
        <v>1</v>
      </c>
      <c r="GJ6" s="15">
        <v>2</v>
      </c>
      <c r="GK6" s="15">
        <v>3</v>
      </c>
      <c r="GL6" s="15">
        <v>1</v>
      </c>
      <c r="GM6" s="15">
        <v>5</v>
      </c>
      <c r="GN6" s="15">
        <v>4</v>
      </c>
      <c r="GO6" s="15">
        <v>3</v>
      </c>
      <c r="GP6" s="15">
        <v>4</v>
      </c>
      <c r="GQ6" s="15">
        <v>4</v>
      </c>
      <c r="GR6" s="15">
        <v>2</v>
      </c>
      <c r="GS6" s="15">
        <v>5</v>
      </c>
      <c r="GT6" s="15">
        <v>4</v>
      </c>
      <c r="GU6" s="15">
        <v>5</v>
      </c>
      <c r="GV6" s="15">
        <v>4</v>
      </c>
      <c r="GW6" s="15">
        <v>3</v>
      </c>
      <c r="GX6" s="15">
        <v>2</v>
      </c>
      <c r="GY6" s="15">
        <v>1</v>
      </c>
      <c r="GZ6" s="15">
        <v>1</v>
      </c>
      <c r="HA6" s="15">
        <v>1</v>
      </c>
      <c r="HB6" s="15">
        <v>1</v>
      </c>
      <c r="HC6" s="15">
        <v>2</v>
      </c>
      <c r="HD6" s="15">
        <v>4</v>
      </c>
      <c r="HE6" s="15">
        <v>4</v>
      </c>
      <c r="HF6" s="15">
        <v>3</v>
      </c>
      <c r="HG6" s="15">
        <v>3</v>
      </c>
      <c r="HH6" s="15">
        <v>3</v>
      </c>
      <c r="HI6" s="15">
        <v>5</v>
      </c>
      <c r="HJ6" s="15">
        <v>4</v>
      </c>
      <c r="HK6" s="15">
        <v>1</v>
      </c>
      <c r="HL6" s="15">
        <v>4</v>
      </c>
      <c r="HM6" s="15">
        <v>1</v>
      </c>
      <c r="HN6" s="15">
        <v>1</v>
      </c>
      <c r="HO6" s="15">
        <v>1</v>
      </c>
      <c r="HP6" s="15">
        <v>1</v>
      </c>
      <c r="HQ6" s="15">
        <v>4</v>
      </c>
      <c r="HR6" s="15">
        <v>4</v>
      </c>
      <c r="HS6" s="15">
        <v>3</v>
      </c>
      <c r="HT6" s="15">
        <v>5</v>
      </c>
      <c r="HU6" s="15">
        <v>4</v>
      </c>
      <c r="HV6" s="15">
        <v>2</v>
      </c>
      <c r="HW6" s="15">
        <v>2.25</v>
      </c>
      <c r="HX6" s="15">
        <v>3.75</v>
      </c>
      <c r="HY6" s="15">
        <v>4.25</v>
      </c>
      <c r="HZ6" s="15">
        <v>1.75</v>
      </c>
      <c r="IA6" s="15">
        <v>2.25</v>
      </c>
      <c r="IB6" s="15">
        <v>4.5</v>
      </c>
      <c r="IC6" s="15">
        <v>5</v>
      </c>
      <c r="ID6" s="15">
        <v>3.5</v>
      </c>
      <c r="IE6" s="15">
        <v>4.75</v>
      </c>
      <c r="IF6" s="15">
        <v>3.5</v>
      </c>
      <c r="IG6" s="15">
        <v>4.5</v>
      </c>
      <c r="IH6" s="15">
        <v>3.75</v>
      </c>
      <c r="II6" s="15">
        <v>3</v>
      </c>
      <c r="IJ6" s="15">
        <v>3</v>
      </c>
      <c r="IK6" s="15">
        <v>3.25</v>
      </c>
      <c r="IL6" s="15">
        <v>1.25</v>
      </c>
      <c r="IM6" s="15">
        <v>2.25</v>
      </c>
      <c r="IN6" s="15">
        <v>2</v>
      </c>
      <c r="IO6" s="15">
        <v>5</v>
      </c>
      <c r="IP6" s="15">
        <v>5</v>
      </c>
      <c r="IQ6" s="15">
        <v>3.25</v>
      </c>
      <c r="IR6" s="15">
        <v>1.75</v>
      </c>
      <c r="IS6" s="15">
        <v>4.25</v>
      </c>
      <c r="IT6" s="15">
        <v>2.25</v>
      </c>
      <c r="IU6" s="15">
        <v>2.5</v>
      </c>
      <c r="IV6" s="15">
        <v>3.75</v>
      </c>
      <c r="IW6" s="15">
        <v>4</v>
      </c>
      <c r="IX6" s="15">
        <v>5</v>
      </c>
      <c r="IY6" s="15">
        <v>3.75</v>
      </c>
      <c r="IZ6" s="15">
        <v>3</v>
      </c>
      <c r="JA6" s="12"/>
    </row>
    <row r="7" spans="1:261" s="15" customFormat="1" x14ac:dyDescent="0.3">
      <c r="A7" s="15">
        <v>7</v>
      </c>
      <c r="B7" s="15" t="s">
        <v>469</v>
      </c>
      <c r="C7" s="16">
        <v>56</v>
      </c>
      <c r="D7" s="15" t="s">
        <v>288</v>
      </c>
      <c r="E7" s="15" t="s">
        <v>289</v>
      </c>
      <c r="F7" s="15" t="s">
        <v>290</v>
      </c>
      <c r="G7" s="15" t="s">
        <v>283</v>
      </c>
      <c r="H7" s="15" t="s">
        <v>291</v>
      </c>
      <c r="I7" s="15" t="s">
        <v>270</v>
      </c>
      <c r="J7" s="15" t="s">
        <v>292</v>
      </c>
      <c r="K7" s="15" t="s">
        <v>272</v>
      </c>
      <c r="L7" s="15" t="s">
        <v>281</v>
      </c>
      <c r="M7" s="15" t="s">
        <v>293</v>
      </c>
      <c r="Z7" s="15">
        <v>12</v>
      </c>
      <c r="AA7" s="15">
        <f>5/5</f>
        <v>1</v>
      </c>
      <c r="AB7" s="15">
        <f>9002.176/1000</f>
        <v>9.0021759999999986</v>
      </c>
      <c r="AC7" s="15">
        <v>0</v>
      </c>
      <c r="AD7" s="15">
        <v>0</v>
      </c>
      <c r="AE7" s="15">
        <f>2/2</f>
        <v>1</v>
      </c>
      <c r="AF7" s="15">
        <f>7870.217/1000</f>
        <v>7.8702169999999994</v>
      </c>
      <c r="AG7" s="15">
        <v>0</v>
      </c>
      <c r="AH7" s="15">
        <v>1</v>
      </c>
      <c r="AI7" s="15">
        <v>1</v>
      </c>
      <c r="AJ7" s="15">
        <f>5/5</f>
        <v>1</v>
      </c>
      <c r="AO7" s="15">
        <v>0</v>
      </c>
      <c r="AP7" s="15">
        <f>3/3</f>
        <v>1</v>
      </c>
      <c r="AQ7" s="15">
        <f>16316.255/1000</f>
        <v>16.316254999999998</v>
      </c>
      <c r="AR7" s="15">
        <v>0</v>
      </c>
      <c r="AS7" s="15">
        <v>0</v>
      </c>
      <c r="AV7" s="15">
        <v>0</v>
      </c>
      <c r="AW7" s="15">
        <f>3/4</f>
        <v>0.75</v>
      </c>
      <c r="AX7" s="15">
        <f>12362.506/1000</f>
        <v>12.362506</v>
      </c>
      <c r="AY7" s="15">
        <f>0.87</f>
        <v>0.87</v>
      </c>
      <c r="BK7" s="15">
        <v>0</v>
      </c>
      <c r="BL7" s="15">
        <f>2/2</f>
        <v>1</v>
      </c>
      <c r="BM7" s="15">
        <f>9712.414/1000</f>
        <v>9.7124140000000008</v>
      </c>
      <c r="BN7" s="15">
        <v>0</v>
      </c>
      <c r="BO7" s="15">
        <v>0</v>
      </c>
      <c r="BP7" s="15">
        <f>2/5</f>
        <v>0.4</v>
      </c>
      <c r="BQ7" s="15">
        <f>73444.447/1000</f>
        <v>73.444446999999997</v>
      </c>
      <c r="BR7" s="15">
        <v>0</v>
      </c>
      <c r="BW7" s="15">
        <v>1</v>
      </c>
      <c r="BX7" s="15">
        <v>1</v>
      </c>
      <c r="BY7" s="15">
        <v>0</v>
      </c>
      <c r="CK7" s="15">
        <f t="shared" si="0"/>
        <v>128.70801499999999</v>
      </c>
      <c r="CL7" s="15">
        <f>3/8</f>
        <v>0.375</v>
      </c>
      <c r="CM7" s="15">
        <v>1</v>
      </c>
      <c r="CN7" s="15">
        <f>2/5</f>
        <v>0.4</v>
      </c>
      <c r="CO7" s="15">
        <f>2/5</f>
        <v>0.4</v>
      </c>
      <c r="CP7" s="15">
        <v>0</v>
      </c>
      <c r="CQ7" s="15">
        <v>0</v>
      </c>
      <c r="CR7" s="15">
        <v>8.3333333333333329E-2</v>
      </c>
      <c r="CS7" s="15">
        <v>0.19090909090909092</v>
      </c>
      <c r="CT7" s="15">
        <v>0</v>
      </c>
      <c r="CU7" s="15">
        <v>151</v>
      </c>
      <c r="CV7" s="15">
        <v>210</v>
      </c>
      <c r="CW7" s="15">
        <v>0</v>
      </c>
      <c r="DD7" s="15">
        <v>0</v>
      </c>
      <c r="DE7" s="15">
        <v>0</v>
      </c>
      <c r="DF7" s="15">
        <v>5</v>
      </c>
      <c r="DG7" s="15">
        <v>4</v>
      </c>
      <c r="DH7" s="15">
        <v>3</v>
      </c>
      <c r="DI7" s="15">
        <v>2</v>
      </c>
      <c r="DJ7" s="15">
        <v>4</v>
      </c>
      <c r="DK7" s="15">
        <v>2</v>
      </c>
      <c r="DL7" s="15">
        <v>2</v>
      </c>
      <c r="DM7" s="15">
        <v>4</v>
      </c>
      <c r="DN7" s="15">
        <v>2</v>
      </c>
      <c r="DO7" s="15">
        <v>4</v>
      </c>
      <c r="DP7" s="15">
        <v>4</v>
      </c>
      <c r="DQ7" s="15">
        <v>4</v>
      </c>
      <c r="DR7" s="15">
        <v>2</v>
      </c>
      <c r="DS7" s="15">
        <v>4</v>
      </c>
      <c r="DT7" s="15">
        <v>4</v>
      </c>
      <c r="DU7" s="15">
        <v>2</v>
      </c>
      <c r="DV7" s="15">
        <v>4</v>
      </c>
      <c r="DW7" s="15">
        <v>3</v>
      </c>
      <c r="DX7" s="15">
        <v>2</v>
      </c>
      <c r="DY7" s="15">
        <v>4</v>
      </c>
      <c r="DZ7" s="15">
        <v>2</v>
      </c>
      <c r="EA7" s="15">
        <v>3</v>
      </c>
      <c r="EB7" s="15">
        <v>4</v>
      </c>
      <c r="EC7" s="15">
        <v>2</v>
      </c>
      <c r="ED7" s="15">
        <v>2</v>
      </c>
      <c r="EE7" s="15">
        <v>3</v>
      </c>
      <c r="EF7" s="15">
        <v>2</v>
      </c>
      <c r="EG7" s="15">
        <v>2</v>
      </c>
      <c r="EH7" s="15">
        <v>4</v>
      </c>
      <c r="EI7" s="15">
        <v>3</v>
      </c>
      <c r="EJ7" s="15">
        <v>4</v>
      </c>
      <c r="EK7" s="15">
        <v>3</v>
      </c>
      <c r="EL7" s="15">
        <v>3</v>
      </c>
      <c r="EM7" s="15">
        <v>2</v>
      </c>
      <c r="EN7" s="15">
        <v>4</v>
      </c>
      <c r="EO7" s="15">
        <v>2</v>
      </c>
      <c r="EP7" s="15">
        <v>4</v>
      </c>
      <c r="EQ7" s="15">
        <v>4</v>
      </c>
      <c r="ER7" s="15">
        <v>1</v>
      </c>
      <c r="ES7" s="15">
        <v>2</v>
      </c>
      <c r="ET7" s="15">
        <v>3</v>
      </c>
      <c r="EU7" s="15">
        <v>3</v>
      </c>
      <c r="EV7" s="15">
        <v>3</v>
      </c>
      <c r="EW7" s="15">
        <v>4</v>
      </c>
      <c r="EX7" s="15">
        <v>4</v>
      </c>
      <c r="EY7" s="15">
        <v>4</v>
      </c>
      <c r="EZ7" s="15">
        <v>3</v>
      </c>
      <c r="FA7" s="15">
        <v>2</v>
      </c>
      <c r="FB7" s="15">
        <v>2</v>
      </c>
      <c r="FC7" s="15">
        <v>4</v>
      </c>
      <c r="FD7" s="15">
        <v>3</v>
      </c>
      <c r="FE7" s="15">
        <v>2</v>
      </c>
      <c r="FF7" s="15">
        <v>3</v>
      </c>
      <c r="FG7" s="15">
        <v>2</v>
      </c>
      <c r="FH7" s="15">
        <v>4</v>
      </c>
      <c r="FI7" s="15">
        <v>3</v>
      </c>
      <c r="FJ7" s="15">
        <v>3</v>
      </c>
      <c r="FK7" s="15">
        <v>3</v>
      </c>
      <c r="FL7" s="15">
        <v>4</v>
      </c>
      <c r="FM7" s="15">
        <v>3</v>
      </c>
      <c r="FN7" s="15">
        <v>4</v>
      </c>
      <c r="FO7" s="15">
        <v>2</v>
      </c>
      <c r="FP7" s="15">
        <v>3</v>
      </c>
      <c r="FQ7" s="15">
        <v>2</v>
      </c>
      <c r="FR7" s="15">
        <v>3</v>
      </c>
      <c r="FS7" s="15">
        <v>3</v>
      </c>
      <c r="FT7" s="15">
        <v>3</v>
      </c>
      <c r="FU7" s="15">
        <v>2</v>
      </c>
      <c r="FV7" s="15">
        <v>4</v>
      </c>
      <c r="FW7" s="15">
        <v>2</v>
      </c>
      <c r="FX7" s="15">
        <v>2</v>
      </c>
      <c r="FY7" s="15">
        <v>4</v>
      </c>
      <c r="FZ7" s="15">
        <v>3</v>
      </c>
      <c r="GA7" s="15">
        <v>3</v>
      </c>
      <c r="GB7" s="15">
        <v>2</v>
      </c>
      <c r="GC7" s="15">
        <v>3</v>
      </c>
      <c r="GD7" s="15">
        <v>3</v>
      </c>
      <c r="GE7" s="15">
        <v>3</v>
      </c>
      <c r="GF7" s="15">
        <v>3</v>
      </c>
      <c r="GG7" s="15">
        <v>2</v>
      </c>
      <c r="GH7" s="15">
        <v>2</v>
      </c>
      <c r="GI7" s="15">
        <v>3</v>
      </c>
      <c r="GJ7" s="15">
        <v>3</v>
      </c>
      <c r="GK7" s="15">
        <v>3</v>
      </c>
      <c r="GL7" s="15">
        <v>2</v>
      </c>
      <c r="GM7" s="15">
        <v>3</v>
      </c>
      <c r="GN7" s="15">
        <v>3</v>
      </c>
      <c r="GO7" s="15">
        <v>3</v>
      </c>
      <c r="GP7" s="15">
        <v>2</v>
      </c>
      <c r="GQ7" s="15">
        <v>2</v>
      </c>
      <c r="GR7" s="15">
        <v>2</v>
      </c>
      <c r="GS7" s="15">
        <v>4</v>
      </c>
      <c r="GT7" s="15">
        <v>3</v>
      </c>
      <c r="GU7" s="15">
        <v>3</v>
      </c>
      <c r="GV7" s="15">
        <v>4</v>
      </c>
      <c r="GW7" s="15">
        <v>4</v>
      </c>
      <c r="GX7" s="15">
        <v>4</v>
      </c>
      <c r="GY7" s="15">
        <v>3</v>
      </c>
      <c r="GZ7" s="15">
        <v>2</v>
      </c>
      <c r="HA7" s="15">
        <v>2</v>
      </c>
      <c r="HB7" s="15">
        <v>2</v>
      </c>
      <c r="HC7" s="15">
        <v>3</v>
      </c>
      <c r="HD7" s="15">
        <v>3</v>
      </c>
      <c r="HE7" s="15">
        <v>3</v>
      </c>
      <c r="HF7" s="15">
        <v>2</v>
      </c>
      <c r="HG7" s="15">
        <v>2</v>
      </c>
      <c r="HH7" s="15">
        <v>2</v>
      </c>
      <c r="HI7" s="15">
        <v>3</v>
      </c>
      <c r="HJ7" s="15">
        <v>3</v>
      </c>
      <c r="HK7" s="15">
        <v>2</v>
      </c>
      <c r="HL7" s="15">
        <v>2</v>
      </c>
      <c r="HM7" s="15">
        <v>3</v>
      </c>
      <c r="HN7" s="15">
        <v>2</v>
      </c>
      <c r="HO7" s="15">
        <v>3</v>
      </c>
      <c r="HP7" s="15">
        <v>2</v>
      </c>
      <c r="HQ7" s="15">
        <v>2</v>
      </c>
      <c r="HR7" s="15">
        <v>3</v>
      </c>
      <c r="HS7" s="15">
        <v>3</v>
      </c>
      <c r="HT7" s="15">
        <v>4</v>
      </c>
      <c r="HU7" s="15">
        <v>2</v>
      </c>
      <c r="HV7" s="15">
        <v>2</v>
      </c>
      <c r="HW7" s="15">
        <v>3.75</v>
      </c>
      <c r="HX7" s="15">
        <v>4</v>
      </c>
      <c r="HY7" s="15">
        <v>3.75</v>
      </c>
      <c r="HZ7" s="15">
        <v>4</v>
      </c>
      <c r="IA7" s="15">
        <v>3.25</v>
      </c>
      <c r="IB7" s="15">
        <v>3.5</v>
      </c>
      <c r="IC7" s="15">
        <v>4.25</v>
      </c>
      <c r="ID7" s="15">
        <v>2.25</v>
      </c>
      <c r="IE7" s="15">
        <v>3.5</v>
      </c>
      <c r="IF7" s="15">
        <v>3.25</v>
      </c>
      <c r="IG7" s="15">
        <v>2.75</v>
      </c>
      <c r="IH7" s="15">
        <v>3</v>
      </c>
      <c r="II7" s="15">
        <v>3.5</v>
      </c>
      <c r="IJ7" s="15">
        <v>3</v>
      </c>
      <c r="IK7" s="15">
        <v>3.25</v>
      </c>
      <c r="IL7" s="15">
        <v>3.25</v>
      </c>
      <c r="IM7" s="15">
        <v>2.5</v>
      </c>
      <c r="IN7" s="15">
        <v>2.75</v>
      </c>
      <c r="IO7" s="15">
        <v>3</v>
      </c>
      <c r="IP7" s="15">
        <v>4</v>
      </c>
      <c r="IQ7" s="15">
        <v>2.75</v>
      </c>
      <c r="IR7" s="15">
        <v>3.25</v>
      </c>
      <c r="IS7" s="15">
        <v>3.25</v>
      </c>
      <c r="IT7" s="15">
        <v>2.75</v>
      </c>
      <c r="IU7" s="15">
        <v>2</v>
      </c>
      <c r="IV7" s="15">
        <v>4.25</v>
      </c>
      <c r="IW7" s="15">
        <v>4</v>
      </c>
      <c r="IX7" s="15">
        <v>4</v>
      </c>
      <c r="IY7" s="15">
        <v>4</v>
      </c>
      <c r="IZ7" s="15">
        <v>4</v>
      </c>
      <c r="JA7" s="12"/>
    </row>
    <row r="8" spans="1:261" s="15" customFormat="1" x14ac:dyDescent="0.3">
      <c r="A8" s="15">
        <v>8</v>
      </c>
      <c r="B8" s="15" t="s">
        <v>469</v>
      </c>
      <c r="C8" s="16">
        <v>23</v>
      </c>
      <c r="D8" s="15" t="s">
        <v>258</v>
      </c>
      <c r="E8" s="15" t="s">
        <v>259</v>
      </c>
      <c r="F8" s="15" t="s">
        <v>260</v>
      </c>
      <c r="G8" s="15" t="s">
        <v>283</v>
      </c>
      <c r="H8" s="15" t="s">
        <v>269</v>
      </c>
      <c r="I8" s="15" t="s">
        <v>280</v>
      </c>
      <c r="J8" s="15" t="s">
        <v>294</v>
      </c>
      <c r="K8" s="15" t="s">
        <v>272</v>
      </c>
      <c r="L8" s="15" t="s">
        <v>295</v>
      </c>
      <c r="M8" s="15" t="s">
        <v>296</v>
      </c>
      <c r="R8" s="15">
        <f>1/1</f>
        <v>1</v>
      </c>
      <c r="S8" s="15">
        <v>0</v>
      </c>
      <c r="U8" s="15">
        <v>0</v>
      </c>
      <c r="V8" s="15">
        <v>5</v>
      </c>
      <c r="W8" s="15">
        <f>8/8</f>
        <v>1</v>
      </c>
      <c r="X8" s="15">
        <v>19.640470000000001</v>
      </c>
      <c r="Y8" s="15">
        <v>6.0449999999999999</v>
      </c>
      <c r="Z8" s="15">
        <v>3</v>
      </c>
      <c r="AA8" s="15">
        <v>3</v>
      </c>
      <c r="AC8" s="15">
        <v>7.15</v>
      </c>
      <c r="AD8" s="15">
        <v>0</v>
      </c>
      <c r="AE8" s="15">
        <f>2/2</f>
        <v>1</v>
      </c>
      <c r="AF8" s="15">
        <v>10</v>
      </c>
      <c r="AG8" s="15">
        <v>0</v>
      </c>
      <c r="AH8" s="15">
        <v>1</v>
      </c>
      <c r="AI8" s="15">
        <v>1</v>
      </c>
      <c r="AJ8" s="15">
        <f>5/5</f>
        <v>1</v>
      </c>
      <c r="AO8" s="15">
        <v>0</v>
      </c>
      <c r="AP8" s="15">
        <f>3/3</f>
        <v>1</v>
      </c>
      <c r="AQ8" s="15">
        <v>10.307259999999999</v>
      </c>
      <c r="AR8" s="15">
        <v>0.05</v>
      </c>
      <c r="AS8" s="15">
        <v>0</v>
      </c>
      <c r="AV8" s="15">
        <v>0</v>
      </c>
      <c r="AW8" s="15">
        <f>4/4</f>
        <v>1</v>
      </c>
      <c r="AX8" s="15">
        <v>7.2922409999999998</v>
      </c>
      <c r="AY8" s="15">
        <v>0.52249999999999996</v>
      </c>
      <c r="BD8" s="15">
        <v>0</v>
      </c>
      <c r="BG8" s="15">
        <v>1</v>
      </c>
      <c r="BH8" s="15">
        <f>2/5</f>
        <v>0.4</v>
      </c>
      <c r="BI8" s="15">
        <v>23.21801</v>
      </c>
      <c r="BJ8" s="15">
        <v>1.65</v>
      </c>
      <c r="BS8" s="15">
        <v>0</v>
      </c>
      <c r="BT8" s="15">
        <f>2/2</f>
        <v>1</v>
      </c>
      <c r="BU8" s="15">
        <v>37.348759999999999</v>
      </c>
      <c r="BV8" s="15">
        <v>0</v>
      </c>
      <c r="BW8" s="15">
        <v>0</v>
      </c>
      <c r="CK8" s="15">
        <f t="shared" si="0"/>
        <v>107.80674099999999</v>
      </c>
      <c r="CL8" s="15">
        <f>4/8</f>
        <v>0.5</v>
      </c>
      <c r="CM8" s="15">
        <v>1</v>
      </c>
      <c r="CN8" s="15">
        <f>1/5</f>
        <v>0.2</v>
      </c>
      <c r="CO8" s="15">
        <f>1/5</f>
        <v>0.2</v>
      </c>
      <c r="CP8" s="15">
        <v>0</v>
      </c>
      <c r="CQ8" s="15">
        <v>1</v>
      </c>
      <c r="CR8" s="15">
        <v>0.79166666666666663</v>
      </c>
      <c r="CS8" s="15">
        <v>0.89090909090909087</v>
      </c>
      <c r="CT8" s="15">
        <v>2</v>
      </c>
      <c r="CU8" s="15">
        <v>318</v>
      </c>
      <c r="CV8" s="15">
        <v>1180</v>
      </c>
      <c r="CW8" s="15">
        <v>2</v>
      </c>
      <c r="DD8" s="15">
        <v>0</v>
      </c>
      <c r="DE8" s="15">
        <v>0</v>
      </c>
      <c r="DF8" s="15">
        <v>4</v>
      </c>
      <c r="DG8" s="15">
        <v>4</v>
      </c>
      <c r="DH8" s="15">
        <v>4</v>
      </c>
      <c r="DI8" s="15">
        <v>4</v>
      </c>
      <c r="DJ8" s="15">
        <v>5</v>
      </c>
      <c r="DK8" s="15">
        <v>1</v>
      </c>
      <c r="DL8" s="15">
        <v>4</v>
      </c>
      <c r="DM8" s="15">
        <v>4</v>
      </c>
      <c r="DN8" s="15">
        <v>3</v>
      </c>
      <c r="DO8" s="15">
        <v>3</v>
      </c>
      <c r="DP8" s="15">
        <v>1</v>
      </c>
      <c r="DQ8" s="15">
        <v>5</v>
      </c>
      <c r="DR8" s="15">
        <v>5</v>
      </c>
      <c r="DS8" s="15">
        <v>3</v>
      </c>
      <c r="DT8" s="15">
        <v>5</v>
      </c>
      <c r="DU8" s="15">
        <v>2</v>
      </c>
      <c r="DV8" s="15">
        <v>2</v>
      </c>
      <c r="DW8" s="15">
        <v>5</v>
      </c>
      <c r="DX8" s="15">
        <v>1</v>
      </c>
      <c r="DY8" s="15">
        <v>4</v>
      </c>
      <c r="DZ8" s="15">
        <v>4</v>
      </c>
      <c r="EA8" s="15">
        <v>4</v>
      </c>
      <c r="EB8" s="15">
        <v>5</v>
      </c>
      <c r="EC8" s="15">
        <v>4</v>
      </c>
      <c r="ED8" s="15">
        <v>4</v>
      </c>
      <c r="EE8" s="15">
        <v>1</v>
      </c>
      <c r="EF8" s="15">
        <v>4</v>
      </c>
      <c r="EG8" s="15">
        <v>4</v>
      </c>
      <c r="EH8" s="15">
        <v>4</v>
      </c>
      <c r="EI8" s="15">
        <v>3</v>
      </c>
      <c r="EJ8" s="15">
        <v>1</v>
      </c>
      <c r="EK8" s="15">
        <v>4</v>
      </c>
      <c r="EL8" s="15">
        <v>4</v>
      </c>
      <c r="EM8" s="15">
        <v>4</v>
      </c>
      <c r="EN8" s="15">
        <v>4</v>
      </c>
      <c r="EO8" s="15">
        <v>1</v>
      </c>
      <c r="EP8" s="15">
        <v>4</v>
      </c>
      <c r="EQ8" s="15">
        <v>4</v>
      </c>
      <c r="ER8" s="15">
        <v>3</v>
      </c>
      <c r="ES8" s="15">
        <v>3</v>
      </c>
      <c r="ET8" s="15">
        <v>1</v>
      </c>
      <c r="EU8" s="15">
        <v>4</v>
      </c>
      <c r="EV8" s="15">
        <v>4</v>
      </c>
      <c r="EW8" s="15">
        <v>3</v>
      </c>
      <c r="EX8" s="15">
        <v>5</v>
      </c>
      <c r="EY8" s="15">
        <v>2</v>
      </c>
      <c r="EZ8" s="15">
        <v>4</v>
      </c>
      <c r="FA8" s="15">
        <v>1</v>
      </c>
      <c r="FB8" s="15">
        <v>1</v>
      </c>
      <c r="FC8" s="15">
        <v>4</v>
      </c>
      <c r="FD8" s="15">
        <v>2</v>
      </c>
      <c r="FE8" s="15">
        <v>4</v>
      </c>
      <c r="FF8" s="15">
        <v>1</v>
      </c>
      <c r="FG8" s="15">
        <v>4</v>
      </c>
      <c r="FH8" s="15">
        <v>4</v>
      </c>
      <c r="FI8" s="15">
        <v>1</v>
      </c>
      <c r="FJ8" s="15">
        <v>4</v>
      </c>
      <c r="FK8" s="15">
        <v>5</v>
      </c>
      <c r="FL8" s="15">
        <v>4</v>
      </c>
      <c r="FM8" s="15">
        <v>3</v>
      </c>
      <c r="FN8" s="15">
        <v>2</v>
      </c>
      <c r="FO8" s="15">
        <v>2</v>
      </c>
      <c r="FP8" s="15">
        <v>4</v>
      </c>
      <c r="FQ8" s="15">
        <v>4</v>
      </c>
      <c r="FR8" s="15">
        <v>5</v>
      </c>
      <c r="FS8" s="15">
        <v>1</v>
      </c>
      <c r="FT8" s="15">
        <v>1</v>
      </c>
      <c r="FU8" s="15">
        <v>4</v>
      </c>
      <c r="FV8" s="15">
        <v>4</v>
      </c>
      <c r="FW8" s="15">
        <v>3</v>
      </c>
      <c r="FX8" s="15">
        <v>2</v>
      </c>
      <c r="FY8" s="15">
        <v>1</v>
      </c>
      <c r="FZ8" s="15">
        <v>4</v>
      </c>
      <c r="GA8" s="15">
        <v>2</v>
      </c>
      <c r="GB8" s="15">
        <v>2</v>
      </c>
      <c r="GC8" s="15">
        <v>4</v>
      </c>
      <c r="GD8" s="15">
        <v>2</v>
      </c>
      <c r="GE8" s="15">
        <v>4</v>
      </c>
      <c r="GF8" s="15">
        <v>1</v>
      </c>
      <c r="GG8" s="15">
        <v>1</v>
      </c>
      <c r="GH8" s="15">
        <v>1</v>
      </c>
      <c r="GI8" s="15">
        <v>4</v>
      </c>
      <c r="GJ8" s="15">
        <v>4</v>
      </c>
      <c r="GK8" s="15">
        <v>1</v>
      </c>
      <c r="GL8" s="15">
        <v>4</v>
      </c>
      <c r="GM8" s="15">
        <v>2</v>
      </c>
      <c r="GN8" s="15">
        <v>1</v>
      </c>
      <c r="GO8" s="15">
        <v>5</v>
      </c>
      <c r="GP8" s="15">
        <v>1</v>
      </c>
      <c r="GQ8" s="15">
        <v>1</v>
      </c>
      <c r="GR8" s="15">
        <v>3</v>
      </c>
      <c r="GS8" s="15">
        <v>1</v>
      </c>
      <c r="GT8" s="15">
        <v>2</v>
      </c>
      <c r="GU8" s="15">
        <v>1</v>
      </c>
      <c r="GV8" s="15">
        <v>2</v>
      </c>
      <c r="GW8" s="15">
        <v>4</v>
      </c>
      <c r="GX8" s="15">
        <v>5</v>
      </c>
      <c r="GY8" s="15">
        <v>1</v>
      </c>
      <c r="GZ8" s="15">
        <v>2</v>
      </c>
      <c r="HA8" s="15">
        <v>3</v>
      </c>
      <c r="HB8" s="15">
        <v>1</v>
      </c>
      <c r="HC8" s="15">
        <v>5</v>
      </c>
      <c r="HD8" s="15">
        <v>2</v>
      </c>
      <c r="HE8" s="15">
        <v>2</v>
      </c>
      <c r="HF8" s="15">
        <v>2</v>
      </c>
      <c r="HG8" s="15">
        <v>1</v>
      </c>
      <c r="HH8" s="15">
        <v>5</v>
      </c>
      <c r="HI8" s="15">
        <v>2</v>
      </c>
      <c r="HJ8" s="15">
        <v>2</v>
      </c>
      <c r="HK8" s="15">
        <v>1</v>
      </c>
      <c r="HL8" s="15">
        <v>2</v>
      </c>
      <c r="HM8" s="15">
        <v>4</v>
      </c>
      <c r="HN8" s="15">
        <v>4</v>
      </c>
      <c r="HO8" s="15">
        <v>1</v>
      </c>
      <c r="HP8" s="15">
        <v>4</v>
      </c>
      <c r="HQ8" s="15">
        <v>2</v>
      </c>
      <c r="HR8" s="15">
        <v>5</v>
      </c>
      <c r="HS8" s="15">
        <v>5</v>
      </c>
      <c r="HT8" s="15">
        <v>1</v>
      </c>
      <c r="HU8" s="15">
        <v>2</v>
      </c>
      <c r="HV8" s="15">
        <v>3</v>
      </c>
      <c r="HW8" s="15">
        <v>4.5</v>
      </c>
      <c r="HX8" s="15">
        <v>3.75</v>
      </c>
      <c r="HY8" s="15">
        <v>4.25</v>
      </c>
      <c r="HZ8" s="15">
        <v>4.25</v>
      </c>
      <c r="IA8" s="15">
        <v>4</v>
      </c>
      <c r="IB8" s="15">
        <v>3</v>
      </c>
      <c r="IC8" s="15">
        <v>2</v>
      </c>
      <c r="ID8" s="15">
        <v>1</v>
      </c>
      <c r="IE8" s="15">
        <v>1</v>
      </c>
      <c r="IF8" s="15">
        <v>1.75</v>
      </c>
      <c r="IG8" s="15">
        <v>3</v>
      </c>
      <c r="IH8" s="15">
        <v>1</v>
      </c>
      <c r="II8" s="15">
        <v>4</v>
      </c>
      <c r="IJ8" s="15">
        <v>4.5</v>
      </c>
      <c r="IK8" s="15">
        <v>4.25</v>
      </c>
      <c r="IL8" s="15">
        <v>3.5</v>
      </c>
      <c r="IM8" s="15">
        <v>4</v>
      </c>
      <c r="IN8" s="15">
        <v>4.5</v>
      </c>
      <c r="IO8" s="15">
        <v>3.25</v>
      </c>
      <c r="IP8" s="15">
        <v>3.5</v>
      </c>
      <c r="IQ8" s="15">
        <v>4.25</v>
      </c>
      <c r="IR8" s="15">
        <v>4.75</v>
      </c>
      <c r="IS8" s="15">
        <v>5</v>
      </c>
      <c r="IT8" s="15">
        <v>4.75</v>
      </c>
      <c r="IU8" s="15">
        <v>4</v>
      </c>
      <c r="IV8" s="15">
        <v>3</v>
      </c>
      <c r="IW8" s="15">
        <v>3.5</v>
      </c>
      <c r="IX8" s="15">
        <v>5</v>
      </c>
      <c r="IY8" s="15">
        <v>2</v>
      </c>
      <c r="IZ8" s="15">
        <v>4.25</v>
      </c>
      <c r="JA8" s="12"/>
    </row>
    <row r="9" spans="1:261" s="15" customFormat="1" x14ac:dyDescent="0.3">
      <c r="A9" s="15">
        <v>9</v>
      </c>
      <c r="B9" s="15" t="s">
        <v>469</v>
      </c>
      <c r="C9" s="16">
        <v>30</v>
      </c>
      <c r="D9" s="15" t="s">
        <v>258</v>
      </c>
      <c r="E9" s="15" t="s">
        <v>259</v>
      </c>
      <c r="F9" s="15" t="s">
        <v>260</v>
      </c>
      <c r="G9" s="15" t="s">
        <v>268</v>
      </c>
      <c r="H9" s="15" t="s">
        <v>262</v>
      </c>
      <c r="I9" s="15" t="s">
        <v>280</v>
      </c>
      <c r="J9" s="15" t="s">
        <v>280</v>
      </c>
      <c r="K9" s="15" t="s">
        <v>272</v>
      </c>
      <c r="L9" s="15" t="s">
        <v>278</v>
      </c>
      <c r="M9" s="15" t="s">
        <v>297</v>
      </c>
      <c r="AD9" s="15">
        <v>0</v>
      </c>
      <c r="AE9" s="15">
        <f>2/2</f>
        <v>1</v>
      </c>
      <c r="AF9" s="15">
        <f>4593.392/1000</f>
        <v>4.5933919999999997</v>
      </c>
      <c r="AG9" s="15">
        <v>0</v>
      </c>
      <c r="AH9" s="15">
        <v>0</v>
      </c>
      <c r="AK9" s="15">
        <v>2</v>
      </c>
      <c r="AL9" s="15">
        <f>1/8</f>
        <v>0.125</v>
      </c>
      <c r="AN9" s="15">
        <f>1.1+1.1</f>
        <v>2.2000000000000002</v>
      </c>
      <c r="AO9" s="15">
        <v>0</v>
      </c>
      <c r="AP9" s="15">
        <f>3/3</f>
        <v>1</v>
      </c>
      <c r="AQ9" s="15">
        <f>21406.52/1000</f>
        <v>21.40652</v>
      </c>
      <c r="AR9" s="15">
        <f>0.3825</f>
        <v>0.38250000000000001</v>
      </c>
      <c r="AZ9" s="15">
        <v>0</v>
      </c>
      <c r="BA9" s="15">
        <f>2/2</f>
        <v>1</v>
      </c>
      <c r="BB9" s="15">
        <f>6023.134/1000</f>
        <v>6.0231339999999998</v>
      </c>
      <c r="BC9" s="15">
        <v>0</v>
      </c>
      <c r="BD9" s="15">
        <v>0</v>
      </c>
      <c r="BK9" s="15">
        <v>0</v>
      </c>
      <c r="BL9" s="15">
        <f t="shared" ref="BL9:BL14" si="1">2/2</f>
        <v>1</v>
      </c>
      <c r="BM9" s="15">
        <f>11828.573/1000</f>
        <v>11.828573</v>
      </c>
      <c r="BN9" s="15">
        <v>0</v>
      </c>
      <c r="BS9" s="15">
        <v>0</v>
      </c>
      <c r="BT9" s="15">
        <f>2/2</f>
        <v>1</v>
      </c>
      <c r="BU9" s="15">
        <f>39700.564/1000</f>
        <v>39.700564</v>
      </c>
      <c r="BV9" s="15">
        <v>0</v>
      </c>
      <c r="BW9" s="15">
        <v>0</v>
      </c>
      <c r="CK9" s="15">
        <f t="shared" si="0"/>
        <v>83.552182999999999</v>
      </c>
      <c r="CL9" s="15">
        <f>1/8</f>
        <v>0.125</v>
      </c>
      <c r="CM9" s="15">
        <v>1</v>
      </c>
      <c r="CN9" s="15">
        <v>0</v>
      </c>
      <c r="CO9" s="15">
        <v>0</v>
      </c>
      <c r="CP9" s="15">
        <v>0</v>
      </c>
      <c r="CQ9" s="15">
        <v>0</v>
      </c>
      <c r="CR9" s="15">
        <v>0.60416666666666663</v>
      </c>
      <c r="CS9" s="15">
        <v>0.82727272727272727</v>
      </c>
      <c r="CT9" s="15">
        <v>1</v>
      </c>
      <c r="CU9" s="15">
        <v>300</v>
      </c>
      <c r="CV9" s="15">
        <v>1010</v>
      </c>
      <c r="CW9" s="15">
        <v>1</v>
      </c>
      <c r="DD9" s="15">
        <v>0</v>
      </c>
      <c r="DE9" s="15">
        <v>0</v>
      </c>
      <c r="DF9" s="15">
        <v>5</v>
      </c>
      <c r="DG9" s="15">
        <v>2</v>
      </c>
      <c r="DH9" s="15">
        <v>4</v>
      </c>
      <c r="DI9" s="15">
        <v>3</v>
      </c>
      <c r="DJ9" s="15">
        <v>4</v>
      </c>
      <c r="DK9" s="15">
        <v>4</v>
      </c>
      <c r="DL9" s="15">
        <v>2</v>
      </c>
      <c r="DM9" s="15">
        <v>2</v>
      </c>
      <c r="DN9" s="15">
        <v>1</v>
      </c>
      <c r="DO9" s="15">
        <v>2</v>
      </c>
      <c r="DP9" s="15">
        <v>3</v>
      </c>
      <c r="DQ9" s="15">
        <v>4</v>
      </c>
      <c r="DR9" s="15">
        <v>3</v>
      </c>
      <c r="DS9" s="15">
        <v>4</v>
      </c>
      <c r="DT9" s="15">
        <v>4</v>
      </c>
      <c r="DU9" s="15">
        <v>1</v>
      </c>
      <c r="DV9" s="15">
        <v>3</v>
      </c>
      <c r="DW9" s="15">
        <v>2</v>
      </c>
      <c r="DX9" s="15">
        <v>1</v>
      </c>
      <c r="DY9" s="15">
        <v>5</v>
      </c>
      <c r="DZ9" s="15">
        <v>4</v>
      </c>
      <c r="EA9" s="15">
        <v>3</v>
      </c>
      <c r="EB9" s="15">
        <v>4</v>
      </c>
      <c r="EC9" s="15">
        <v>3</v>
      </c>
      <c r="ED9" s="15">
        <v>3</v>
      </c>
      <c r="EE9" s="15">
        <v>2</v>
      </c>
      <c r="EF9" s="15">
        <v>2</v>
      </c>
      <c r="EG9" s="15">
        <v>3</v>
      </c>
      <c r="EH9" s="15">
        <v>3</v>
      </c>
      <c r="EI9" s="15">
        <v>3</v>
      </c>
      <c r="EJ9" s="15">
        <v>4</v>
      </c>
      <c r="EK9" s="15">
        <v>3</v>
      </c>
      <c r="EL9" s="15">
        <v>4</v>
      </c>
      <c r="EM9" s="15">
        <v>2</v>
      </c>
      <c r="EN9" s="15">
        <v>2</v>
      </c>
      <c r="EO9" s="15">
        <v>4</v>
      </c>
      <c r="EP9" s="15">
        <v>4</v>
      </c>
      <c r="EQ9" s="15">
        <v>4</v>
      </c>
      <c r="ER9" s="15">
        <v>2</v>
      </c>
      <c r="ES9" s="15">
        <v>4</v>
      </c>
      <c r="ET9" s="15">
        <v>3</v>
      </c>
      <c r="EU9" s="15">
        <v>3</v>
      </c>
      <c r="EV9" s="15">
        <v>3</v>
      </c>
      <c r="EW9" s="15">
        <v>4</v>
      </c>
      <c r="EX9" s="15">
        <v>3</v>
      </c>
      <c r="EY9" s="15">
        <v>1</v>
      </c>
      <c r="EZ9" s="15">
        <v>3</v>
      </c>
      <c r="FA9" s="15">
        <v>3</v>
      </c>
      <c r="FB9" s="15">
        <v>4</v>
      </c>
      <c r="FC9" s="15">
        <v>4</v>
      </c>
      <c r="FD9" s="15">
        <v>2</v>
      </c>
      <c r="FE9" s="15">
        <v>3</v>
      </c>
      <c r="FF9" s="15">
        <v>3</v>
      </c>
      <c r="FG9" s="15">
        <v>2</v>
      </c>
      <c r="FH9" s="15">
        <v>4</v>
      </c>
      <c r="FI9" s="15">
        <v>2</v>
      </c>
      <c r="FJ9" s="15">
        <v>3</v>
      </c>
      <c r="FK9" s="15">
        <v>4</v>
      </c>
      <c r="FL9" s="15">
        <v>4</v>
      </c>
      <c r="FM9" s="15">
        <v>4</v>
      </c>
      <c r="FN9" s="15">
        <v>2</v>
      </c>
      <c r="FO9" s="15">
        <v>1</v>
      </c>
      <c r="FP9" s="15">
        <v>4</v>
      </c>
      <c r="FQ9" s="15">
        <v>3</v>
      </c>
      <c r="FR9" s="15">
        <v>3</v>
      </c>
      <c r="FS9" s="15">
        <v>4</v>
      </c>
      <c r="FT9" s="15">
        <v>2</v>
      </c>
      <c r="FU9" s="15">
        <v>4</v>
      </c>
      <c r="FV9" s="15">
        <v>4</v>
      </c>
      <c r="FW9" s="15">
        <v>2</v>
      </c>
      <c r="FX9" s="15">
        <v>4</v>
      </c>
      <c r="FY9" s="15">
        <v>3</v>
      </c>
      <c r="FZ9" s="15">
        <v>2</v>
      </c>
      <c r="GA9" s="15">
        <v>5</v>
      </c>
      <c r="GB9" s="15">
        <v>2</v>
      </c>
      <c r="GC9" s="15">
        <v>2</v>
      </c>
      <c r="GD9" s="15">
        <v>3</v>
      </c>
      <c r="GE9" s="15">
        <v>3</v>
      </c>
      <c r="GF9" s="15">
        <v>4</v>
      </c>
      <c r="GG9" s="15">
        <v>3</v>
      </c>
      <c r="GH9" s="15">
        <v>1</v>
      </c>
      <c r="GI9" s="15">
        <v>2</v>
      </c>
      <c r="GJ9" s="15">
        <v>2</v>
      </c>
      <c r="GK9" s="15">
        <v>3</v>
      </c>
      <c r="GL9" s="15">
        <v>2</v>
      </c>
      <c r="GM9" s="15">
        <v>4</v>
      </c>
      <c r="GN9" s="15">
        <v>4</v>
      </c>
      <c r="GO9" s="15">
        <v>3</v>
      </c>
      <c r="GP9" s="15">
        <v>3</v>
      </c>
      <c r="GQ9" s="15">
        <v>4</v>
      </c>
      <c r="GR9" s="15">
        <v>2</v>
      </c>
      <c r="GS9" s="15">
        <v>5</v>
      </c>
      <c r="GT9" s="15">
        <v>2</v>
      </c>
      <c r="GU9" s="15">
        <v>4</v>
      </c>
      <c r="GV9" s="15">
        <v>3</v>
      </c>
      <c r="GW9" s="15">
        <v>3</v>
      </c>
      <c r="GX9" s="15">
        <v>1</v>
      </c>
      <c r="GY9" s="15">
        <v>4</v>
      </c>
      <c r="GZ9" s="15">
        <v>2</v>
      </c>
      <c r="HA9" s="15">
        <v>2</v>
      </c>
      <c r="HB9" s="15">
        <v>1</v>
      </c>
      <c r="HC9" s="15">
        <v>3</v>
      </c>
      <c r="HD9" s="15">
        <v>2</v>
      </c>
      <c r="HE9" s="15">
        <v>2</v>
      </c>
      <c r="HF9" s="15">
        <v>2</v>
      </c>
      <c r="HG9" s="15">
        <v>2</v>
      </c>
      <c r="HH9" s="15">
        <v>4</v>
      </c>
      <c r="HI9" s="15">
        <v>2</v>
      </c>
      <c r="HJ9" s="15">
        <v>2</v>
      </c>
      <c r="HK9" s="15">
        <v>2</v>
      </c>
      <c r="HL9" s="15">
        <v>1</v>
      </c>
      <c r="HM9" s="15">
        <v>2</v>
      </c>
      <c r="HN9" s="15">
        <v>1</v>
      </c>
      <c r="HO9" s="15">
        <v>2</v>
      </c>
      <c r="HP9" s="15">
        <v>2</v>
      </c>
      <c r="HQ9" s="15">
        <v>4</v>
      </c>
      <c r="HR9" s="15">
        <v>3</v>
      </c>
      <c r="HS9" s="15">
        <v>2</v>
      </c>
      <c r="HT9" s="15">
        <v>3</v>
      </c>
      <c r="HU9" s="15">
        <v>4</v>
      </c>
      <c r="HV9" s="15">
        <v>4</v>
      </c>
      <c r="HW9" s="15">
        <v>3</v>
      </c>
      <c r="HX9" s="15">
        <v>2.75</v>
      </c>
      <c r="HY9" s="15">
        <v>3.75</v>
      </c>
      <c r="HZ9" s="15">
        <v>4.75</v>
      </c>
      <c r="IA9" s="15">
        <v>2.75</v>
      </c>
      <c r="IB9" s="15">
        <v>2.75</v>
      </c>
      <c r="IC9" s="15">
        <v>4</v>
      </c>
      <c r="ID9" s="15">
        <v>4.25</v>
      </c>
      <c r="IE9" s="15">
        <v>3</v>
      </c>
      <c r="IF9" s="15">
        <v>1.75</v>
      </c>
      <c r="IG9" s="15">
        <v>4</v>
      </c>
      <c r="IH9" s="15">
        <v>2.75</v>
      </c>
      <c r="II9" s="15">
        <v>3.5</v>
      </c>
      <c r="IJ9" s="15">
        <v>3</v>
      </c>
      <c r="IK9" s="15">
        <v>3.25</v>
      </c>
      <c r="IL9" s="15">
        <v>3.25</v>
      </c>
      <c r="IM9" s="15">
        <v>2.25</v>
      </c>
      <c r="IN9" s="15">
        <v>2.5</v>
      </c>
      <c r="IO9" s="15">
        <v>4</v>
      </c>
      <c r="IP9" s="15">
        <v>3</v>
      </c>
      <c r="IQ9" s="15">
        <v>2.75</v>
      </c>
      <c r="IR9" s="15">
        <v>2.75</v>
      </c>
      <c r="IS9" s="15">
        <v>3.5</v>
      </c>
      <c r="IT9" s="15">
        <v>3.25</v>
      </c>
      <c r="IU9" s="15">
        <v>2.75</v>
      </c>
      <c r="IV9" s="15">
        <v>4.25</v>
      </c>
      <c r="IW9" s="15">
        <v>4</v>
      </c>
      <c r="IX9" s="15">
        <v>3.5</v>
      </c>
      <c r="IY9" s="15">
        <v>3.75</v>
      </c>
      <c r="IZ9" s="15">
        <v>2.75</v>
      </c>
      <c r="JA9" s="12"/>
    </row>
    <row r="10" spans="1:261" s="12" customFormat="1" x14ac:dyDescent="0.3">
      <c r="A10" s="15">
        <v>10</v>
      </c>
      <c r="B10" s="15" t="s">
        <v>469</v>
      </c>
      <c r="C10" s="16">
        <v>27</v>
      </c>
      <c r="D10" s="15" t="s">
        <v>288</v>
      </c>
      <c r="E10" s="15" t="s">
        <v>259</v>
      </c>
      <c r="F10" s="15" t="s">
        <v>260</v>
      </c>
      <c r="G10" s="15" t="s">
        <v>283</v>
      </c>
      <c r="H10" s="15" t="s">
        <v>298</v>
      </c>
      <c r="I10" s="15" t="s">
        <v>270</v>
      </c>
      <c r="J10" s="15" t="s">
        <v>299</v>
      </c>
      <c r="K10" s="15" t="s">
        <v>272</v>
      </c>
      <c r="L10" s="15" t="s">
        <v>281</v>
      </c>
      <c r="M10" s="15" t="s">
        <v>300</v>
      </c>
      <c r="N10" s="15"/>
      <c r="O10" s="15"/>
      <c r="P10" s="15"/>
      <c r="Q10" s="15"/>
      <c r="R10" s="15"/>
      <c r="S10" s="15"/>
      <c r="T10" s="15"/>
      <c r="U10" s="15"/>
      <c r="V10" s="15">
        <v>1</v>
      </c>
      <c r="W10" s="15">
        <f>6/8</f>
        <v>0.75</v>
      </c>
      <c r="X10" s="15"/>
      <c r="Y10" s="15">
        <v>1.0024999999999999</v>
      </c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>
        <v>12</v>
      </c>
      <c r="AL10" s="15">
        <f>3/8</f>
        <v>0.375</v>
      </c>
      <c r="AM10" s="15"/>
      <c r="AN10" s="15">
        <v>13.535</v>
      </c>
      <c r="AO10" s="15">
        <v>0</v>
      </c>
      <c r="AP10" s="15">
        <f>2/3</f>
        <v>0.66666666666666663</v>
      </c>
      <c r="AQ10" s="15">
        <v>-1</v>
      </c>
      <c r="AR10" s="15">
        <v>0</v>
      </c>
      <c r="AS10" s="15">
        <v>0</v>
      </c>
      <c r="AT10" s="15"/>
      <c r="AU10" s="15"/>
      <c r="AV10" s="15">
        <v>0</v>
      </c>
      <c r="AW10" s="15">
        <f>2/4</f>
        <v>0.5</v>
      </c>
      <c r="AX10" s="15">
        <v>9</v>
      </c>
      <c r="AY10" s="15">
        <v>1.2925</v>
      </c>
      <c r="AZ10" s="15"/>
      <c r="BA10" s="15"/>
      <c r="BB10" s="15"/>
      <c r="BC10" s="15"/>
      <c r="BD10" s="15">
        <v>0</v>
      </c>
      <c r="BE10" s="15"/>
      <c r="BF10" s="15"/>
      <c r="BG10" s="15">
        <v>1</v>
      </c>
      <c r="BH10" s="15">
        <v>0</v>
      </c>
      <c r="BI10" s="15"/>
      <c r="BJ10" s="15"/>
      <c r="BK10" s="15">
        <v>0</v>
      </c>
      <c r="BL10" s="15">
        <f t="shared" si="1"/>
        <v>1</v>
      </c>
      <c r="BM10" s="15">
        <v>16</v>
      </c>
      <c r="BN10" s="15">
        <v>0</v>
      </c>
      <c r="BO10" s="15">
        <v>3</v>
      </c>
      <c r="BP10" s="15">
        <v>0</v>
      </c>
      <c r="BQ10" s="15">
        <v>-1</v>
      </c>
      <c r="BR10" s="15">
        <v>3.2675000000000001</v>
      </c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>
        <f t="shared" si="0"/>
        <v>23</v>
      </c>
      <c r="CL10" s="15">
        <f>5/8</f>
        <v>0.625</v>
      </c>
      <c r="CM10" s="15">
        <v>2</v>
      </c>
      <c r="CN10" s="15">
        <v>0</v>
      </c>
      <c r="CO10" s="15">
        <v>0</v>
      </c>
      <c r="CP10" s="15">
        <v>0</v>
      </c>
      <c r="CQ10" s="15">
        <v>0</v>
      </c>
      <c r="CR10" s="15">
        <v>0.79166666666666663</v>
      </c>
      <c r="CS10" s="15">
        <v>0.8545454545454545</v>
      </c>
      <c r="CT10" s="15">
        <v>2</v>
      </c>
      <c r="CU10" s="15">
        <v>299</v>
      </c>
      <c r="CV10" s="15">
        <v>1140</v>
      </c>
      <c r="CW10" s="15">
        <v>2</v>
      </c>
      <c r="CX10" s="15">
        <v>0.79166666666666663</v>
      </c>
      <c r="CY10" s="15">
        <v>0.85</v>
      </c>
      <c r="CZ10" s="15">
        <v>3</v>
      </c>
      <c r="DA10" s="15">
        <v>308</v>
      </c>
      <c r="DB10" s="15">
        <v>1240</v>
      </c>
      <c r="DC10" s="15">
        <v>2</v>
      </c>
      <c r="DD10" s="15">
        <v>1</v>
      </c>
      <c r="DE10" s="15">
        <v>0</v>
      </c>
      <c r="DF10" s="15">
        <v>5</v>
      </c>
      <c r="DG10" s="15">
        <v>4</v>
      </c>
      <c r="DH10" s="15">
        <v>3</v>
      </c>
      <c r="DI10" s="15">
        <v>4</v>
      </c>
      <c r="DJ10" s="15">
        <v>4</v>
      </c>
      <c r="DK10" s="15">
        <v>2</v>
      </c>
      <c r="DL10" s="15">
        <v>4</v>
      </c>
      <c r="DM10" s="15">
        <v>5</v>
      </c>
      <c r="DN10" s="15">
        <v>3</v>
      </c>
      <c r="DO10" s="15">
        <v>5</v>
      </c>
      <c r="DP10" s="15">
        <v>2</v>
      </c>
      <c r="DQ10" s="15">
        <v>4</v>
      </c>
      <c r="DR10" s="15">
        <v>4</v>
      </c>
      <c r="DS10" s="15">
        <v>4</v>
      </c>
      <c r="DT10" s="15">
        <v>5</v>
      </c>
      <c r="DU10" s="15">
        <v>2</v>
      </c>
      <c r="DV10" s="15">
        <v>4</v>
      </c>
      <c r="DW10" s="15">
        <v>2</v>
      </c>
      <c r="DX10" s="15">
        <v>1</v>
      </c>
      <c r="DY10" s="15">
        <v>3</v>
      </c>
      <c r="DZ10" s="15">
        <v>2</v>
      </c>
      <c r="EA10" s="15">
        <v>3</v>
      </c>
      <c r="EB10" s="15">
        <v>2</v>
      </c>
      <c r="EC10" s="15">
        <v>3</v>
      </c>
      <c r="ED10" s="15">
        <v>4</v>
      </c>
      <c r="EE10" s="15">
        <v>2</v>
      </c>
      <c r="EF10" s="15">
        <v>5</v>
      </c>
      <c r="EG10" s="15">
        <v>2</v>
      </c>
      <c r="EH10" s="15">
        <v>3</v>
      </c>
      <c r="EI10" s="15">
        <v>1</v>
      </c>
      <c r="EJ10" s="15">
        <v>5</v>
      </c>
      <c r="EK10" s="15">
        <v>4</v>
      </c>
      <c r="EL10" s="15">
        <v>4</v>
      </c>
      <c r="EM10" s="15">
        <v>5</v>
      </c>
      <c r="EN10" s="15">
        <v>4</v>
      </c>
      <c r="EO10" s="15">
        <v>2</v>
      </c>
      <c r="EP10" s="15">
        <v>1</v>
      </c>
      <c r="EQ10" s="15">
        <v>4</v>
      </c>
      <c r="ER10" s="15">
        <v>2</v>
      </c>
      <c r="ES10" s="15">
        <v>2</v>
      </c>
      <c r="ET10" s="15">
        <v>1</v>
      </c>
      <c r="EU10" s="15">
        <v>3</v>
      </c>
      <c r="EV10" s="15">
        <v>4</v>
      </c>
      <c r="EW10" s="15">
        <v>5</v>
      </c>
      <c r="EX10" s="15">
        <v>4</v>
      </c>
      <c r="EY10" s="15">
        <v>2</v>
      </c>
      <c r="EZ10" s="15">
        <v>4</v>
      </c>
      <c r="FA10" s="15">
        <v>2</v>
      </c>
      <c r="FB10" s="15">
        <v>1</v>
      </c>
      <c r="FC10" s="15">
        <v>5</v>
      </c>
      <c r="FD10" s="15">
        <v>4</v>
      </c>
      <c r="FE10" s="15">
        <v>4</v>
      </c>
      <c r="FF10" s="15">
        <v>4</v>
      </c>
      <c r="FG10" s="15">
        <v>4</v>
      </c>
      <c r="FH10" s="15">
        <v>4</v>
      </c>
      <c r="FI10" s="15">
        <v>2</v>
      </c>
      <c r="FJ10" s="15">
        <v>4</v>
      </c>
      <c r="FK10" s="15">
        <v>5</v>
      </c>
      <c r="FL10" s="15">
        <v>4</v>
      </c>
      <c r="FM10" s="15">
        <v>1</v>
      </c>
      <c r="FN10" s="15">
        <v>3</v>
      </c>
      <c r="FO10" s="15">
        <v>2</v>
      </c>
      <c r="FP10" s="15">
        <v>4</v>
      </c>
      <c r="FQ10" s="15">
        <v>4</v>
      </c>
      <c r="FR10" s="15">
        <v>4</v>
      </c>
      <c r="FS10" s="15">
        <v>2</v>
      </c>
      <c r="FT10" s="15">
        <v>2</v>
      </c>
      <c r="FU10" s="15">
        <v>2</v>
      </c>
      <c r="FV10" s="15">
        <v>4</v>
      </c>
      <c r="FW10" s="15">
        <v>2</v>
      </c>
      <c r="FX10" s="15">
        <v>3</v>
      </c>
      <c r="FY10" s="15">
        <v>1</v>
      </c>
      <c r="FZ10" s="15">
        <v>3</v>
      </c>
      <c r="GA10" s="15">
        <v>2</v>
      </c>
      <c r="GB10" s="15">
        <v>1</v>
      </c>
      <c r="GC10" s="15">
        <v>2</v>
      </c>
      <c r="GD10" s="15">
        <v>1</v>
      </c>
      <c r="GE10" s="15">
        <v>4</v>
      </c>
      <c r="GF10" s="15">
        <v>4</v>
      </c>
      <c r="GG10" s="15">
        <v>1</v>
      </c>
      <c r="GH10" s="15">
        <v>2</v>
      </c>
      <c r="GI10" s="15">
        <v>3</v>
      </c>
      <c r="GJ10" s="15">
        <v>2</v>
      </c>
      <c r="GK10" s="15">
        <v>2</v>
      </c>
      <c r="GL10" s="15">
        <v>3</v>
      </c>
      <c r="GM10" s="15">
        <v>3</v>
      </c>
      <c r="GN10" s="15">
        <v>2</v>
      </c>
      <c r="GO10" s="15">
        <v>5</v>
      </c>
      <c r="GP10" s="15">
        <v>2</v>
      </c>
      <c r="GQ10" s="15">
        <v>1</v>
      </c>
      <c r="GR10" s="15">
        <v>2</v>
      </c>
      <c r="GS10" s="15">
        <v>3</v>
      </c>
      <c r="GT10" s="15">
        <v>2</v>
      </c>
      <c r="GU10" s="15">
        <v>4</v>
      </c>
      <c r="GV10" s="15">
        <v>3</v>
      </c>
      <c r="GW10" s="15">
        <v>5</v>
      </c>
      <c r="GX10" s="15">
        <v>5</v>
      </c>
      <c r="GY10" s="15">
        <v>2</v>
      </c>
      <c r="GZ10" s="15">
        <v>3</v>
      </c>
      <c r="HA10" s="15">
        <v>2</v>
      </c>
      <c r="HB10" s="15">
        <v>3</v>
      </c>
      <c r="HC10" s="15">
        <v>4</v>
      </c>
      <c r="HD10" s="15">
        <v>4</v>
      </c>
      <c r="HE10" s="15">
        <v>2</v>
      </c>
      <c r="HF10" s="15">
        <v>1</v>
      </c>
      <c r="HG10" s="15">
        <v>1</v>
      </c>
      <c r="HH10" s="15">
        <v>2</v>
      </c>
      <c r="HI10" s="15">
        <v>5</v>
      </c>
      <c r="HJ10" s="15">
        <v>4</v>
      </c>
      <c r="HK10" s="15">
        <v>1</v>
      </c>
      <c r="HL10" s="15">
        <v>2</v>
      </c>
      <c r="HM10" s="15">
        <v>4</v>
      </c>
      <c r="HN10" s="15">
        <v>1</v>
      </c>
      <c r="HO10" s="15">
        <v>4</v>
      </c>
      <c r="HP10" s="15">
        <v>2</v>
      </c>
      <c r="HQ10" s="15">
        <v>3</v>
      </c>
      <c r="HR10" s="15">
        <v>4</v>
      </c>
      <c r="HS10" s="15">
        <v>5</v>
      </c>
      <c r="HT10" s="15">
        <v>4</v>
      </c>
      <c r="HU10" s="15">
        <v>2</v>
      </c>
      <c r="HV10" s="15">
        <v>1</v>
      </c>
      <c r="HW10" s="15">
        <v>4.25</v>
      </c>
      <c r="HX10" s="15">
        <v>3.75</v>
      </c>
      <c r="HY10" s="15">
        <v>4.5</v>
      </c>
      <c r="HZ10" s="15">
        <v>4</v>
      </c>
      <c r="IA10" s="15">
        <v>3.5</v>
      </c>
      <c r="IB10" s="15">
        <v>4.75</v>
      </c>
      <c r="IC10" s="15">
        <v>4</v>
      </c>
      <c r="ID10" s="15">
        <v>1.75</v>
      </c>
      <c r="IE10" s="15">
        <v>1.5</v>
      </c>
      <c r="IF10" s="15">
        <v>2.25</v>
      </c>
      <c r="IG10" s="15">
        <v>2.25</v>
      </c>
      <c r="IH10" s="15">
        <v>2</v>
      </c>
      <c r="II10" s="15">
        <v>4</v>
      </c>
      <c r="IJ10" s="15">
        <v>3.25</v>
      </c>
      <c r="IK10" s="15">
        <v>3</v>
      </c>
      <c r="IL10" s="15">
        <v>3.25</v>
      </c>
      <c r="IM10" s="15">
        <v>2.5</v>
      </c>
      <c r="IN10" s="15">
        <v>4.75</v>
      </c>
      <c r="IO10" s="15">
        <v>3.75</v>
      </c>
      <c r="IP10" s="15">
        <v>4</v>
      </c>
      <c r="IQ10" s="15">
        <v>4</v>
      </c>
      <c r="IR10" s="15">
        <v>2.5</v>
      </c>
      <c r="IS10" s="15">
        <v>2.5</v>
      </c>
      <c r="IT10" s="15">
        <v>3.25</v>
      </c>
      <c r="IU10" s="15">
        <v>4</v>
      </c>
      <c r="IV10" s="15">
        <v>3.75</v>
      </c>
      <c r="IW10" s="15">
        <v>4.75</v>
      </c>
      <c r="IX10" s="15">
        <v>5</v>
      </c>
      <c r="IY10" s="15">
        <v>3</v>
      </c>
      <c r="IZ10" s="15">
        <v>4</v>
      </c>
    </row>
    <row r="11" spans="1:261" s="12" customFormat="1" x14ac:dyDescent="0.3">
      <c r="A11" s="15">
        <v>11</v>
      </c>
      <c r="B11" s="15" t="s">
        <v>469</v>
      </c>
      <c r="C11" s="16">
        <v>23</v>
      </c>
      <c r="D11" s="15" t="s">
        <v>288</v>
      </c>
      <c r="E11" s="15" t="s">
        <v>259</v>
      </c>
      <c r="F11" s="15" t="s">
        <v>260</v>
      </c>
      <c r="G11" s="15" t="s">
        <v>268</v>
      </c>
      <c r="H11" s="15" t="s">
        <v>269</v>
      </c>
      <c r="I11" s="15" t="s">
        <v>280</v>
      </c>
      <c r="J11" s="15" t="s">
        <v>280</v>
      </c>
      <c r="K11" s="15" t="s">
        <v>265</v>
      </c>
      <c r="L11" s="15" t="s">
        <v>273</v>
      </c>
      <c r="M11" s="15" t="s">
        <v>301</v>
      </c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>
        <v>0</v>
      </c>
      <c r="AE11" s="15">
        <f>2/2</f>
        <v>1</v>
      </c>
      <c r="AF11" s="15">
        <f>5220.242/1000</f>
        <v>5.2202419999999998</v>
      </c>
      <c r="AG11" s="15">
        <v>0</v>
      </c>
      <c r="AH11" s="15">
        <v>1</v>
      </c>
      <c r="AI11" s="15">
        <v>0</v>
      </c>
      <c r="AJ11" s="15">
        <f>5/5</f>
        <v>1</v>
      </c>
      <c r="AK11" s="15"/>
      <c r="AL11" s="15"/>
      <c r="AM11" s="15"/>
      <c r="AN11" s="15"/>
      <c r="AO11" s="15">
        <v>0</v>
      </c>
      <c r="AP11" s="15">
        <f>3/3</f>
        <v>1</v>
      </c>
      <c r="AQ11" s="15">
        <f>22623.541/1000</f>
        <v>22.623540999999999</v>
      </c>
      <c r="AR11" s="15">
        <f>0.265</f>
        <v>0.26500000000000001</v>
      </c>
      <c r="AS11" s="15"/>
      <c r="AT11" s="15"/>
      <c r="AU11" s="15"/>
      <c r="AV11" s="15">
        <v>0</v>
      </c>
      <c r="AW11" s="15">
        <f>4/4</f>
        <v>1</v>
      </c>
      <c r="AX11" s="15">
        <f>7836.155/1000</f>
        <v>7.8361549999999998</v>
      </c>
      <c r="AY11" s="15">
        <f>0.907499999999994</f>
        <v>0.90749999999999398</v>
      </c>
      <c r="AZ11" s="15"/>
      <c r="BA11" s="15"/>
      <c r="BB11" s="15"/>
      <c r="BC11" s="15"/>
      <c r="BD11" s="15">
        <v>0</v>
      </c>
      <c r="BE11" s="15"/>
      <c r="BF11" s="15"/>
      <c r="BG11" s="15"/>
      <c r="BH11" s="15"/>
      <c r="BI11" s="15"/>
      <c r="BJ11" s="15"/>
      <c r="BK11" s="15">
        <v>0</v>
      </c>
      <c r="BL11" s="15">
        <f t="shared" si="1"/>
        <v>1</v>
      </c>
      <c r="BM11" s="15">
        <f>9418.328/1000</f>
        <v>9.4183279999999989</v>
      </c>
      <c r="BN11" s="15">
        <v>0</v>
      </c>
      <c r="BO11" s="15"/>
      <c r="BP11" s="15"/>
      <c r="BQ11" s="15"/>
      <c r="BR11" s="15"/>
      <c r="BS11" s="15">
        <v>0</v>
      </c>
      <c r="BT11" s="15">
        <f>1/2</f>
        <v>0.5</v>
      </c>
      <c r="BU11" s="15">
        <f>31055.253/1000</f>
        <v>31.055253</v>
      </c>
      <c r="BV11" s="15">
        <v>0</v>
      </c>
      <c r="BW11" s="15">
        <v>0</v>
      </c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>
        <f t="shared" si="0"/>
        <v>76.153518999999989</v>
      </c>
      <c r="CL11" s="15">
        <f>1/8</f>
        <v>0.125</v>
      </c>
      <c r="CM11" s="15">
        <v>0</v>
      </c>
      <c r="CN11" s="15">
        <f t="shared" ref="CN11:CO13" si="2">1/5</f>
        <v>0.2</v>
      </c>
      <c r="CO11" s="15">
        <f t="shared" si="2"/>
        <v>0.2</v>
      </c>
      <c r="CP11" s="15">
        <v>0</v>
      </c>
      <c r="CQ11" s="15">
        <v>0</v>
      </c>
      <c r="CR11" s="15">
        <v>4.1666666666666664E-2</v>
      </c>
      <c r="CS11" s="15">
        <v>0.21818181818181817</v>
      </c>
      <c r="CT11" s="15">
        <v>0</v>
      </c>
      <c r="CU11" s="15">
        <v>132</v>
      </c>
      <c r="CV11" s="15">
        <v>240</v>
      </c>
      <c r="CW11" s="15">
        <v>0</v>
      </c>
      <c r="CX11" s="15"/>
      <c r="CY11" s="15"/>
      <c r="CZ11" s="15"/>
      <c r="DA11" s="15"/>
      <c r="DB11" s="15"/>
      <c r="DC11" s="15"/>
      <c r="DD11" s="15">
        <v>0</v>
      </c>
      <c r="DE11" s="15">
        <v>0</v>
      </c>
      <c r="DF11" s="15">
        <v>4</v>
      </c>
      <c r="DG11" s="15">
        <v>5</v>
      </c>
      <c r="DH11" s="15">
        <v>4</v>
      </c>
      <c r="DI11" s="15">
        <v>4</v>
      </c>
      <c r="DJ11" s="15">
        <v>3</v>
      </c>
      <c r="DK11" s="15">
        <v>4</v>
      </c>
      <c r="DL11" s="15">
        <v>5</v>
      </c>
      <c r="DM11" s="15">
        <v>5</v>
      </c>
      <c r="DN11" s="15">
        <v>2</v>
      </c>
      <c r="DO11" s="15">
        <v>2</v>
      </c>
      <c r="DP11" s="15">
        <v>2</v>
      </c>
      <c r="DQ11" s="15">
        <v>4</v>
      </c>
      <c r="DR11" s="15">
        <v>4</v>
      </c>
      <c r="DS11" s="15">
        <v>5</v>
      </c>
      <c r="DT11" s="15">
        <v>4</v>
      </c>
      <c r="DU11" s="15">
        <v>1</v>
      </c>
      <c r="DV11" s="15">
        <v>3</v>
      </c>
      <c r="DW11" s="15">
        <v>5</v>
      </c>
      <c r="DX11" s="15">
        <v>3</v>
      </c>
      <c r="DY11" s="15">
        <v>3</v>
      </c>
      <c r="DZ11" s="15">
        <v>3</v>
      </c>
      <c r="EA11" s="15">
        <v>5</v>
      </c>
      <c r="EB11" s="15">
        <v>2</v>
      </c>
      <c r="EC11" s="15">
        <v>2</v>
      </c>
      <c r="ED11" s="15">
        <v>5</v>
      </c>
      <c r="EE11" s="15">
        <v>1</v>
      </c>
      <c r="EF11" s="15">
        <v>3</v>
      </c>
      <c r="EG11" s="15">
        <v>1</v>
      </c>
      <c r="EH11" s="15">
        <v>5</v>
      </c>
      <c r="EI11" s="15">
        <v>3</v>
      </c>
      <c r="EJ11" s="15">
        <v>1</v>
      </c>
      <c r="EK11" s="15">
        <v>4</v>
      </c>
      <c r="EL11" s="15">
        <v>2</v>
      </c>
      <c r="EM11" s="15">
        <v>3</v>
      </c>
      <c r="EN11" s="15">
        <v>2</v>
      </c>
      <c r="EO11" s="15">
        <v>4</v>
      </c>
      <c r="EP11" s="15">
        <v>5</v>
      </c>
      <c r="EQ11" s="15">
        <v>5</v>
      </c>
      <c r="ER11" s="15">
        <v>2</v>
      </c>
      <c r="ES11" s="15">
        <v>3</v>
      </c>
      <c r="ET11" s="15">
        <v>1</v>
      </c>
      <c r="EU11" s="15">
        <v>3</v>
      </c>
      <c r="EV11" s="15">
        <v>5</v>
      </c>
      <c r="EW11" s="15">
        <v>5</v>
      </c>
      <c r="EX11" s="15">
        <v>3</v>
      </c>
      <c r="EY11" s="15">
        <v>3</v>
      </c>
      <c r="EZ11" s="15">
        <v>4</v>
      </c>
      <c r="FA11" s="15">
        <v>2</v>
      </c>
      <c r="FB11" s="15">
        <v>2</v>
      </c>
      <c r="FC11" s="15">
        <v>4</v>
      </c>
      <c r="FD11" s="15">
        <v>3</v>
      </c>
      <c r="FE11" s="15">
        <v>4</v>
      </c>
      <c r="FF11" s="15">
        <v>1</v>
      </c>
      <c r="FG11" s="15">
        <v>2</v>
      </c>
      <c r="FH11" s="15">
        <v>2</v>
      </c>
      <c r="FI11" s="15">
        <v>1</v>
      </c>
      <c r="FJ11" s="15">
        <v>4</v>
      </c>
      <c r="FK11" s="15">
        <v>5</v>
      </c>
      <c r="FL11" s="15">
        <v>5</v>
      </c>
      <c r="FM11" s="15">
        <v>2</v>
      </c>
      <c r="FN11" s="15">
        <v>2</v>
      </c>
      <c r="FO11" s="15">
        <v>1</v>
      </c>
      <c r="FP11" s="15">
        <v>4</v>
      </c>
      <c r="FQ11" s="15">
        <v>3</v>
      </c>
      <c r="FR11" s="15">
        <v>2</v>
      </c>
      <c r="FS11" s="15">
        <v>4</v>
      </c>
      <c r="FT11" s="15">
        <v>2</v>
      </c>
      <c r="FU11" s="15">
        <v>2</v>
      </c>
      <c r="FV11" s="15">
        <v>4</v>
      </c>
      <c r="FW11" s="15">
        <v>1</v>
      </c>
      <c r="FX11" s="15">
        <v>4</v>
      </c>
      <c r="FY11" s="15">
        <v>1</v>
      </c>
      <c r="FZ11" s="15">
        <v>4</v>
      </c>
      <c r="GA11" s="15">
        <v>2</v>
      </c>
      <c r="GB11" s="15">
        <v>1</v>
      </c>
      <c r="GC11" s="15">
        <v>3</v>
      </c>
      <c r="GD11" s="15">
        <v>3</v>
      </c>
      <c r="GE11" s="15">
        <v>2</v>
      </c>
      <c r="GF11" s="15">
        <v>3</v>
      </c>
      <c r="GG11" s="15">
        <v>2</v>
      </c>
      <c r="GH11" s="15">
        <v>2</v>
      </c>
      <c r="GI11" s="15">
        <v>4</v>
      </c>
      <c r="GJ11" s="15">
        <v>4</v>
      </c>
      <c r="GK11" s="15">
        <v>1</v>
      </c>
      <c r="GL11" s="15">
        <v>2</v>
      </c>
      <c r="GM11" s="15">
        <v>4</v>
      </c>
      <c r="GN11" s="15">
        <v>1</v>
      </c>
      <c r="GO11" s="15">
        <v>4</v>
      </c>
      <c r="GP11" s="15">
        <v>3</v>
      </c>
      <c r="GQ11" s="15">
        <v>1</v>
      </c>
      <c r="GR11" s="15">
        <v>3</v>
      </c>
      <c r="GS11" s="15">
        <v>2</v>
      </c>
      <c r="GT11" s="15">
        <v>2</v>
      </c>
      <c r="GU11" s="15">
        <v>4</v>
      </c>
      <c r="GV11" s="15">
        <v>4</v>
      </c>
      <c r="GW11" s="15">
        <v>4</v>
      </c>
      <c r="GX11" s="15">
        <v>2</v>
      </c>
      <c r="GY11" s="15">
        <v>2</v>
      </c>
      <c r="GZ11" s="15">
        <v>2</v>
      </c>
      <c r="HA11" s="15">
        <v>1</v>
      </c>
      <c r="HB11" s="15">
        <v>2</v>
      </c>
      <c r="HC11" s="15">
        <v>4</v>
      </c>
      <c r="HD11" s="15">
        <v>2</v>
      </c>
      <c r="HE11" s="15">
        <v>1</v>
      </c>
      <c r="HF11" s="15">
        <v>1</v>
      </c>
      <c r="HG11" s="15">
        <v>1</v>
      </c>
      <c r="HH11" s="15">
        <v>4</v>
      </c>
      <c r="HI11" s="15">
        <v>5</v>
      </c>
      <c r="HJ11" s="15">
        <v>3</v>
      </c>
      <c r="HK11" s="15">
        <v>2</v>
      </c>
      <c r="HL11" s="15">
        <v>3</v>
      </c>
      <c r="HM11" s="15">
        <v>4</v>
      </c>
      <c r="HN11" s="15">
        <v>2</v>
      </c>
      <c r="HO11" s="15">
        <v>4</v>
      </c>
      <c r="HP11" s="15">
        <v>2</v>
      </c>
      <c r="HQ11" s="15">
        <v>2</v>
      </c>
      <c r="HR11" s="15">
        <v>4</v>
      </c>
      <c r="HS11" s="15">
        <v>5</v>
      </c>
      <c r="HT11" s="15">
        <v>2</v>
      </c>
      <c r="HU11" s="15">
        <v>1</v>
      </c>
      <c r="HV11" s="15">
        <v>1</v>
      </c>
      <c r="HW11" s="15">
        <v>2.75</v>
      </c>
      <c r="HX11" s="15">
        <v>2.75</v>
      </c>
      <c r="HY11" s="15">
        <v>3.75</v>
      </c>
      <c r="HZ11" s="15">
        <v>3.5</v>
      </c>
      <c r="IA11" s="15">
        <v>3.25</v>
      </c>
      <c r="IB11" s="15">
        <v>3.75</v>
      </c>
      <c r="IC11" s="15">
        <v>2.25</v>
      </c>
      <c r="ID11" s="15">
        <v>4</v>
      </c>
      <c r="IE11" s="15">
        <v>1.5</v>
      </c>
      <c r="IF11" s="15">
        <v>2.25</v>
      </c>
      <c r="IG11" s="15">
        <v>2.5</v>
      </c>
      <c r="IH11" s="15">
        <v>1.25</v>
      </c>
      <c r="II11" s="15">
        <v>4.5</v>
      </c>
      <c r="IJ11" s="15">
        <v>4.5</v>
      </c>
      <c r="IK11" s="15">
        <v>3.75</v>
      </c>
      <c r="IL11" s="15">
        <v>2.5</v>
      </c>
      <c r="IM11" s="15">
        <v>3.75</v>
      </c>
      <c r="IN11" s="15">
        <v>4</v>
      </c>
      <c r="IO11" s="15">
        <v>3.5</v>
      </c>
      <c r="IP11" s="15">
        <v>4.5</v>
      </c>
      <c r="IQ11" s="15">
        <v>4.5</v>
      </c>
      <c r="IR11" s="15">
        <v>3.75</v>
      </c>
      <c r="IS11" s="15">
        <v>3.5</v>
      </c>
      <c r="IT11" s="15">
        <v>3.25</v>
      </c>
      <c r="IU11" s="15">
        <v>3</v>
      </c>
      <c r="IV11" s="15">
        <v>4.5</v>
      </c>
      <c r="IW11" s="15">
        <v>5</v>
      </c>
      <c r="IX11" s="15">
        <v>3.75</v>
      </c>
      <c r="IY11" s="15">
        <v>4</v>
      </c>
      <c r="IZ11" s="15">
        <v>5</v>
      </c>
    </row>
    <row r="12" spans="1:261" s="12" customFormat="1" x14ac:dyDescent="0.3">
      <c r="A12" s="15">
        <v>12</v>
      </c>
      <c r="B12" s="15" t="s">
        <v>469</v>
      </c>
      <c r="C12" s="16">
        <v>51</v>
      </c>
      <c r="D12" s="15" t="s">
        <v>288</v>
      </c>
      <c r="E12" s="15" t="s">
        <v>289</v>
      </c>
      <c r="F12" s="15" t="s">
        <v>290</v>
      </c>
      <c r="G12" s="15" t="s">
        <v>302</v>
      </c>
      <c r="H12" s="15" t="s">
        <v>269</v>
      </c>
      <c r="I12" s="15" t="s">
        <v>270</v>
      </c>
      <c r="J12" s="15" t="s">
        <v>303</v>
      </c>
      <c r="K12" s="15" t="s">
        <v>272</v>
      </c>
      <c r="L12" s="15" t="s">
        <v>281</v>
      </c>
      <c r="M12" s="15" t="s">
        <v>304</v>
      </c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>
        <v>1</v>
      </c>
      <c r="AA12" s="15">
        <f>5/5</f>
        <v>1</v>
      </c>
      <c r="AB12" s="15">
        <f>13847.379/1000</f>
        <v>13.847379</v>
      </c>
      <c r="AC12" s="15">
        <v>1.05</v>
      </c>
      <c r="AD12" s="15">
        <v>0</v>
      </c>
      <c r="AE12" s="15">
        <f>2/2</f>
        <v>1</v>
      </c>
      <c r="AF12" s="15">
        <f>24</f>
        <v>24</v>
      </c>
      <c r="AG12" s="15">
        <v>0</v>
      </c>
      <c r="AH12" s="15">
        <v>1</v>
      </c>
      <c r="AI12" s="15">
        <v>1</v>
      </c>
      <c r="AJ12" s="15">
        <f>5/5</f>
        <v>1</v>
      </c>
      <c r="AK12" s="15">
        <v>1</v>
      </c>
      <c r="AL12" s="15">
        <f>0/8</f>
        <v>0</v>
      </c>
      <c r="AM12" s="15"/>
      <c r="AN12" s="15">
        <v>1.1000000000000001</v>
      </c>
      <c r="AO12" s="15">
        <v>0</v>
      </c>
      <c r="AP12" s="15">
        <f>2/3</f>
        <v>0.66666666666666663</v>
      </c>
      <c r="AQ12" s="15">
        <f>18</f>
        <v>18</v>
      </c>
      <c r="AR12" s="15">
        <v>0.3175</v>
      </c>
      <c r="AS12" s="15">
        <v>0</v>
      </c>
      <c r="AT12" s="15"/>
      <c r="AU12" s="15"/>
      <c r="AV12" s="15"/>
      <c r="AW12" s="15"/>
      <c r="AX12" s="15"/>
      <c r="AY12" s="15"/>
      <c r="AZ12" s="15">
        <v>0</v>
      </c>
      <c r="BA12" s="15">
        <f t="shared" ref="BA12:BA20" si="3">2/2</f>
        <v>1</v>
      </c>
      <c r="BB12" s="15">
        <v>12</v>
      </c>
      <c r="BC12" s="15">
        <v>0</v>
      </c>
      <c r="BD12" s="15">
        <v>0</v>
      </c>
      <c r="BE12" s="15"/>
      <c r="BF12" s="15"/>
      <c r="BG12" s="15"/>
      <c r="BH12" s="15"/>
      <c r="BI12" s="15"/>
      <c r="BJ12" s="15"/>
      <c r="BK12" s="15">
        <v>0</v>
      </c>
      <c r="BL12" s="15">
        <f t="shared" si="1"/>
        <v>1</v>
      </c>
      <c r="BM12" s="15">
        <v>25</v>
      </c>
      <c r="BN12" s="15">
        <v>0</v>
      </c>
      <c r="BO12" s="15"/>
      <c r="BP12" s="15"/>
      <c r="BQ12" s="15"/>
      <c r="BR12" s="15"/>
      <c r="BS12" s="15">
        <v>0</v>
      </c>
      <c r="BT12" s="15">
        <f>2/2</f>
        <v>1</v>
      </c>
      <c r="BU12" s="15">
        <v>43</v>
      </c>
      <c r="BV12" s="15">
        <v>0</v>
      </c>
      <c r="BW12" s="15">
        <v>0</v>
      </c>
      <c r="BX12" s="15"/>
      <c r="BY12" s="15"/>
      <c r="BZ12" s="15"/>
      <c r="CA12" s="15"/>
      <c r="CB12" s="15"/>
      <c r="CC12" s="15"/>
      <c r="CD12" s="15">
        <v>1</v>
      </c>
      <c r="CE12" s="15">
        <f>1/2</f>
        <v>0.5</v>
      </c>
      <c r="CF12" s="15">
        <f>29817.09/1000</f>
        <v>29.81709</v>
      </c>
      <c r="CG12" s="15">
        <v>0.875</v>
      </c>
      <c r="CH12" s="15">
        <v>0</v>
      </c>
      <c r="CI12" s="15"/>
      <c r="CJ12" s="15"/>
      <c r="CK12" s="15">
        <f t="shared" si="0"/>
        <v>165.664469</v>
      </c>
      <c r="CL12" s="15">
        <f>2/8</f>
        <v>0.25</v>
      </c>
      <c r="CM12" s="15">
        <v>0</v>
      </c>
      <c r="CN12" s="15">
        <f t="shared" si="2"/>
        <v>0.2</v>
      </c>
      <c r="CO12" s="15">
        <f t="shared" si="2"/>
        <v>0.2</v>
      </c>
      <c r="CP12" s="15">
        <v>0</v>
      </c>
      <c r="CQ12" s="15">
        <v>0</v>
      </c>
      <c r="CR12" s="15">
        <v>2.0833333333333332E-2</v>
      </c>
      <c r="CS12" s="15">
        <v>0.15454545454545454</v>
      </c>
      <c r="CT12" s="15">
        <v>0</v>
      </c>
      <c r="CU12" s="15">
        <v>166</v>
      </c>
      <c r="CV12" s="15">
        <v>170</v>
      </c>
      <c r="CW12" s="15">
        <v>0</v>
      </c>
      <c r="CX12" s="15"/>
      <c r="CY12" s="15"/>
      <c r="CZ12" s="15"/>
      <c r="DA12" s="15"/>
      <c r="DB12" s="15"/>
      <c r="DC12" s="15"/>
      <c r="DD12" s="15">
        <v>0</v>
      </c>
      <c r="DE12" s="15">
        <v>0</v>
      </c>
      <c r="DF12" s="15">
        <v>4</v>
      </c>
      <c r="DG12" s="15">
        <v>4</v>
      </c>
      <c r="DH12" s="15">
        <v>4</v>
      </c>
      <c r="DI12" s="15">
        <v>4</v>
      </c>
      <c r="DJ12" s="15">
        <v>4</v>
      </c>
      <c r="DK12" s="15">
        <v>1</v>
      </c>
      <c r="DL12" s="15">
        <v>2</v>
      </c>
      <c r="DM12" s="15">
        <v>4</v>
      </c>
      <c r="DN12" s="15">
        <v>1</v>
      </c>
      <c r="DO12" s="15">
        <v>2</v>
      </c>
      <c r="DP12" s="15">
        <v>2</v>
      </c>
      <c r="DQ12" s="15">
        <v>4</v>
      </c>
      <c r="DR12" s="15">
        <v>4</v>
      </c>
      <c r="DS12" s="15">
        <v>5</v>
      </c>
      <c r="DT12" s="15">
        <v>5</v>
      </c>
      <c r="DU12" s="15">
        <v>3</v>
      </c>
      <c r="DV12" s="15">
        <v>4</v>
      </c>
      <c r="DW12" s="15">
        <v>5</v>
      </c>
      <c r="DX12" s="15">
        <v>1</v>
      </c>
      <c r="DY12" s="15">
        <v>5</v>
      </c>
      <c r="DZ12" s="15">
        <v>2</v>
      </c>
      <c r="EA12" s="15">
        <v>5</v>
      </c>
      <c r="EB12" s="15">
        <v>5</v>
      </c>
      <c r="EC12" s="15">
        <v>3</v>
      </c>
      <c r="ED12" s="15">
        <v>2</v>
      </c>
      <c r="EE12" s="15">
        <v>2</v>
      </c>
      <c r="EF12" s="15">
        <v>3</v>
      </c>
      <c r="EG12" s="15">
        <v>4</v>
      </c>
      <c r="EH12" s="15">
        <v>4</v>
      </c>
      <c r="EI12" s="15">
        <v>2</v>
      </c>
      <c r="EJ12" s="15">
        <v>5</v>
      </c>
      <c r="EK12" s="15">
        <v>5</v>
      </c>
      <c r="EL12" s="15">
        <v>2</v>
      </c>
      <c r="EM12" s="15">
        <v>5</v>
      </c>
      <c r="EN12" s="15">
        <v>5</v>
      </c>
      <c r="EO12" s="15">
        <v>1</v>
      </c>
      <c r="EP12" s="15">
        <v>2</v>
      </c>
      <c r="EQ12" s="15">
        <v>5</v>
      </c>
      <c r="ER12" s="15">
        <v>1</v>
      </c>
      <c r="ES12" s="15">
        <v>4</v>
      </c>
      <c r="ET12" s="15">
        <v>1</v>
      </c>
      <c r="EU12" s="15">
        <v>3</v>
      </c>
      <c r="EV12" s="15">
        <v>4</v>
      </c>
      <c r="EW12" s="15">
        <v>4</v>
      </c>
      <c r="EX12" s="15">
        <v>5</v>
      </c>
      <c r="EY12" s="15">
        <v>3</v>
      </c>
      <c r="EZ12" s="15">
        <v>4</v>
      </c>
      <c r="FA12" s="15">
        <v>2</v>
      </c>
      <c r="FB12" s="15">
        <v>1</v>
      </c>
      <c r="FC12" s="15">
        <v>3</v>
      </c>
      <c r="FD12" s="15">
        <v>4</v>
      </c>
      <c r="FE12" s="15">
        <v>4</v>
      </c>
      <c r="FF12" s="15">
        <v>2</v>
      </c>
      <c r="FG12" s="15">
        <v>3</v>
      </c>
      <c r="FH12" s="15">
        <v>4</v>
      </c>
      <c r="FI12" s="15">
        <v>2</v>
      </c>
      <c r="FJ12" s="15">
        <v>4</v>
      </c>
      <c r="FK12" s="15">
        <v>4</v>
      </c>
      <c r="FL12" s="15">
        <v>4</v>
      </c>
      <c r="FM12" s="15">
        <v>2</v>
      </c>
      <c r="FN12" s="15">
        <v>2</v>
      </c>
      <c r="FO12" s="15">
        <v>2</v>
      </c>
      <c r="FP12" s="15">
        <v>3</v>
      </c>
      <c r="FQ12" s="15">
        <v>4</v>
      </c>
      <c r="FR12" s="15">
        <v>4</v>
      </c>
      <c r="FS12" s="15">
        <v>1</v>
      </c>
      <c r="FT12" s="15">
        <v>3</v>
      </c>
      <c r="FU12" s="15">
        <v>2</v>
      </c>
      <c r="FV12" s="15">
        <v>4</v>
      </c>
      <c r="FW12" s="15">
        <v>1</v>
      </c>
      <c r="FX12" s="15">
        <v>1</v>
      </c>
      <c r="FY12" s="15">
        <v>2</v>
      </c>
      <c r="FZ12" s="15">
        <v>4</v>
      </c>
      <c r="GA12" s="15">
        <v>2</v>
      </c>
      <c r="GB12" s="15">
        <v>1</v>
      </c>
      <c r="GC12" s="15">
        <v>1</v>
      </c>
      <c r="GD12" s="15">
        <v>3</v>
      </c>
      <c r="GE12" s="15">
        <v>4</v>
      </c>
      <c r="GF12" s="15">
        <v>4</v>
      </c>
      <c r="GG12" s="15">
        <v>1</v>
      </c>
      <c r="GH12" s="15">
        <v>1</v>
      </c>
      <c r="GI12" s="15">
        <v>4</v>
      </c>
      <c r="GJ12" s="15">
        <v>3</v>
      </c>
      <c r="GK12" s="15">
        <v>2</v>
      </c>
      <c r="GL12" s="15">
        <v>4</v>
      </c>
      <c r="GM12" s="15">
        <v>2</v>
      </c>
      <c r="GN12" s="15">
        <v>2</v>
      </c>
      <c r="GO12" s="15">
        <v>5</v>
      </c>
      <c r="GP12" s="15">
        <v>1</v>
      </c>
      <c r="GQ12" s="15">
        <v>1</v>
      </c>
      <c r="GR12" s="15">
        <v>3</v>
      </c>
      <c r="GS12" s="15">
        <v>3</v>
      </c>
      <c r="GT12" s="15">
        <v>3</v>
      </c>
      <c r="GU12" s="15">
        <v>4</v>
      </c>
      <c r="GV12" s="15">
        <v>2</v>
      </c>
      <c r="GW12" s="15">
        <v>4</v>
      </c>
      <c r="GX12" s="15">
        <v>4</v>
      </c>
      <c r="GY12" s="15">
        <v>4</v>
      </c>
      <c r="GZ12" s="15">
        <v>2</v>
      </c>
      <c r="HA12" s="15">
        <v>2</v>
      </c>
      <c r="HB12" s="15">
        <v>4</v>
      </c>
      <c r="HC12" s="15">
        <v>5</v>
      </c>
      <c r="HD12" s="15">
        <v>2</v>
      </c>
      <c r="HE12" s="15">
        <v>2</v>
      </c>
      <c r="HF12" s="15">
        <v>2</v>
      </c>
      <c r="HG12" s="15">
        <v>1</v>
      </c>
      <c r="HH12" s="15">
        <v>1</v>
      </c>
      <c r="HI12" s="15">
        <v>4</v>
      </c>
      <c r="HJ12" s="15">
        <v>2</v>
      </c>
      <c r="HK12" s="15">
        <v>1</v>
      </c>
      <c r="HL12" s="15">
        <v>1</v>
      </c>
      <c r="HM12" s="15">
        <v>4</v>
      </c>
      <c r="HN12" s="15">
        <v>1</v>
      </c>
      <c r="HO12" s="15">
        <v>2</v>
      </c>
      <c r="HP12" s="15">
        <v>1</v>
      </c>
      <c r="HQ12" s="15">
        <v>2</v>
      </c>
      <c r="HR12" s="15">
        <v>4</v>
      </c>
      <c r="HS12" s="15">
        <v>5</v>
      </c>
      <c r="HT12" s="15">
        <v>4</v>
      </c>
      <c r="HU12" s="15">
        <v>1</v>
      </c>
      <c r="HV12" s="15">
        <v>2</v>
      </c>
      <c r="HW12" s="15">
        <v>4.25</v>
      </c>
      <c r="HX12" s="15">
        <v>2.75</v>
      </c>
      <c r="HY12" s="15">
        <v>5</v>
      </c>
      <c r="HZ12" s="15">
        <v>4.5</v>
      </c>
      <c r="IA12" s="15">
        <v>3.5</v>
      </c>
      <c r="IB12" s="15">
        <v>3.75</v>
      </c>
      <c r="IC12" s="15">
        <v>3.5</v>
      </c>
      <c r="ID12" s="15">
        <v>1.25</v>
      </c>
      <c r="IE12" s="15">
        <v>1.5</v>
      </c>
      <c r="IF12" s="15">
        <v>3.5</v>
      </c>
      <c r="IG12" s="15">
        <v>2</v>
      </c>
      <c r="IH12" s="15">
        <v>2</v>
      </c>
      <c r="II12" s="15">
        <v>4</v>
      </c>
      <c r="IJ12" s="15">
        <v>2.25</v>
      </c>
      <c r="IK12" s="15">
        <v>3.75</v>
      </c>
      <c r="IL12" s="15">
        <v>3.5</v>
      </c>
      <c r="IM12" s="15">
        <v>3.25</v>
      </c>
      <c r="IN12" s="15">
        <v>4.25</v>
      </c>
      <c r="IO12" s="15">
        <v>3.25</v>
      </c>
      <c r="IP12" s="15">
        <v>4.25</v>
      </c>
      <c r="IQ12" s="15">
        <v>4</v>
      </c>
      <c r="IR12" s="15">
        <v>3.75</v>
      </c>
      <c r="IS12" s="15">
        <v>4.25</v>
      </c>
      <c r="IT12" s="15">
        <v>3.75</v>
      </c>
      <c r="IU12" s="15">
        <v>4.25</v>
      </c>
      <c r="IV12" s="15">
        <v>4.75</v>
      </c>
      <c r="IW12" s="15">
        <v>4.5</v>
      </c>
      <c r="IX12" s="15">
        <v>5</v>
      </c>
      <c r="IY12" s="15">
        <v>3.25</v>
      </c>
      <c r="IZ12" s="15">
        <v>4.5</v>
      </c>
    </row>
    <row r="13" spans="1:261" s="12" customFormat="1" x14ac:dyDescent="0.3">
      <c r="A13" s="15">
        <v>13</v>
      </c>
      <c r="B13" s="15" t="s">
        <v>469</v>
      </c>
      <c r="C13" s="16">
        <v>19</v>
      </c>
      <c r="D13" s="15" t="s">
        <v>258</v>
      </c>
      <c r="E13" s="15" t="s">
        <v>259</v>
      </c>
      <c r="F13" s="15" t="s">
        <v>260</v>
      </c>
      <c r="G13" s="15" t="s">
        <v>261</v>
      </c>
      <c r="H13" s="15" t="s">
        <v>269</v>
      </c>
      <c r="I13" s="15" t="s">
        <v>280</v>
      </c>
      <c r="J13" s="15" t="s">
        <v>280</v>
      </c>
      <c r="K13" s="15" t="s">
        <v>285</v>
      </c>
      <c r="L13" s="15" t="s">
        <v>305</v>
      </c>
      <c r="M13" s="15" t="s">
        <v>306</v>
      </c>
      <c r="N13" s="15"/>
      <c r="O13" s="15"/>
      <c r="P13" s="15"/>
      <c r="Q13" s="15"/>
      <c r="R13" s="15">
        <f>1/1</f>
        <v>1</v>
      </c>
      <c r="S13" s="15">
        <v>0</v>
      </c>
      <c r="T13" s="15">
        <v>21.010660000000001</v>
      </c>
      <c r="U13" s="15">
        <v>0</v>
      </c>
      <c r="V13" s="15">
        <v>1</v>
      </c>
      <c r="W13" s="15">
        <f>8/8</f>
        <v>1</v>
      </c>
      <c r="X13" s="15">
        <v>20.697870000000002</v>
      </c>
      <c r="Y13" s="15">
        <f>1.0025+0.855</f>
        <v>1.8574999999999999</v>
      </c>
      <c r="Z13" s="15">
        <v>0</v>
      </c>
      <c r="AA13" s="15">
        <f>5/5</f>
        <v>1</v>
      </c>
      <c r="AB13" s="15">
        <v>14.44848</v>
      </c>
      <c r="AC13" s="15">
        <v>0</v>
      </c>
      <c r="AD13" s="15"/>
      <c r="AE13" s="15"/>
      <c r="AF13" s="15"/>
      <c r="AG13" s="15"/>
      <c r="AH13" s="15">
        <v>2</v>
      </c>
      <c r="AI13" s="15">
        <v>1</v>
      </c>
      <c r="AJ13" s="15">
        <f>5/5</f>
        <v>1</v>
      </c>
      <c r="AK13" s="15">
        <v>2</v>
      </c>
      <c r="AL13" s="15">
        <f>7/8</f>
        <v>0.875</v>
      </c>
      <c r="AM13" s="15">
        <v>21.80959</v>
      </c>
      <c r="AN13" s="15">
        <v>2.2000000000000002</v>
      </c>
      <c r="AO13" s="15"/>
      <c r="AP13" s="15"/>
      <c r="AQ13" s="15"/>
      <c r="AR13" s="15"/>
      <c r="AS13" s="15">
        <v>0</v>
      </c>
      <c r="AT13" s="15"/>
      <c r="AU13" s="15"/>
      <c r="AV13" s="15"/>
      <c r="AW13" s="15"/>
      <c r="AX13" s="15"/>
      <c r="AY13" s="15"/>
      <c r="AZ13" s="15">
        <v>0</v>
      </c>
      <c r="BA13" s="15">
        <f t="shared" si="3"/>
        <v>1</v>
      </c>
      <c r="BB13" s="15">
        <v>36</v>
      </c>
      <c r="BC13" s="15">
        <v>0</v>
      </c>
      <c r="BD13" s="15">
        <v>0</v>
      </c>
      <c r="BE13" s="15"/>
      <c r="BF13" s="15"/>
      <c r="BG13" s="15"/>
      <c r="BH13" s="15"/>
      <c r="BI13" s="15"/>
      <c r="BJ13" s="15"/>
      <c r="BK13" s="15">
        <v>0</v>
      </c>
      <c r="BL13" s="15">
        <f t="shared" si="1"/>
        <v>1</v>
      </c>
      <c r="BM13" s="15">
        <v>27.701840000000001</v>
      </c>
      <c r="BN13" s="15">
        <v>0</v>
      </c>
      <c r="BO13" s="15"/>
      <c r="BP13" s="15"/>
      <c r="BQ13" s="15"/>
      <c r="BR13" s="15"/>
      <c r="BS13" s="15">
        <v>0</v>
      </c>
      <c r="BT13" s="15">
        <f>2/2</f>
        <v>1</v>
      </c>
      <c r="BU13" s="15">
        <v>25.06176</v>
      </c>
      <c r="BV13" s="15">
        <v>0</v>
      </c>
      <c r="BW13" s="15">
        <v>0</v>
      </c>
      <c r="BX13" s="15"/>
      <c r="BY13" s="15"/>
      <c r="BZ13" s="15">
        <v>2</v>
      </c>
      <c r="CA13" s="15">
        <v>0</v>
      </c>
      <c r="CB13" s="15"/>
      <c r="CC13" s="15">
        <v>2.1</v>
      </c>
      <c r="CD13" s="15">
        <v>0</v>
      </c>
      <c r="CE13" s="15">
        <f>2/2</f>
        <v>1</v>
      </c>
      <c r="CF13" s="15">
        <v>12.74147</v>
      </c>
      <c r="CG13" s="15">
        <v>4.2500000000000003E-2</v>
      </c>
      <c r="CH13" s="15">
        <v>0</v>
      </c>
      <c r="CI13" s="15"/>
      <c r="CJ13" s="15"/>
      <c r="CK13" s="15">
        <f t="shared" si="0"/>
        <v>179.47166999999999</v>
      </c>
      <c r="CL13" s="15">
        <f>4/8</f>
        <v>0.5</v>
      </c>
      <c r="CM13" s="15">
        <v>1</v>
      </c>
      <c r="CN13" s="15">
        <f t="shared" si="2"/>
        <v>0.2</v>
      </c>
      <c r="CO13" s="15">
        <f t="shared" si="2"/>
        <v>0.2</v>
      </c>
      <c r="CP13" s="15">
        <v>0</v>
      </c>
      <c r="CQ13" s="15">
        <v>1</v>
      </c>
      <c r="CR13" s="15">
        <v>1</v>
      </c>
      <c r="CS13" s="15">
        <v>1</v>
      </c>
      <c r="CT13" s="15">
        <v>3</v>
      </c>
      <c r="CU13" s="15">
        <v>318</v>
      </c>
      <c r="CV13" s="15">
        <v>1400</v>
      </c>
      <c r="CW13" s="15">
        <v>3</v>
      </c>
      <c r="CX13" s="15">
        <v>1</v>
      </c>
      <c r="CY13" s="15">
        <v>1</v>
      </c>
      <c r="CZ13" s="15">
        <v>3</v>
      </c>
      <c r="DA13" s="15">
        <v>285</v>
      </c>
      <c r="DB13" s="15">
        <v>1400</v>
      </c>
      <c r="DC13" s="15">
        <v>3</v>
      </c>
      <c r="DD13" s="15">
        <v>1</v>
      </c>
      <c r="DE13" s="15">
        <v>0</v>
      </c>
      <c r="DF13" s="15">
        <v>5</v>
      </c>
      <c r="DG13" s="15">
        <v>5</v>
      </c>
      <c r="DH13" s="15">
        <v>5</v>
      </c>
      <c r="DI13" s="15">
        <v>4</v>
      </c>
      <c r="DJ13" s="15">
        <v>5</v>
      </c>
      <c r="DK13" s="15">
        <v>2</v>
      </c>
      <c r="DL13" s="15">
        <v>3</v>
      </c>
      <c r="DM13" s="15">
        <v>4</v>
      </c>
      <c r="DN13" s="15">
        <v>3</v>
      </c>
      <c r="DO13" s="15">
        <v>4</v>
      </c>
      <c r="DP13" s="15">
        <v>3</v>
      </c>
      <c r="DQ13" s="15">
        <v>3</v>
      </c>
      <c r="DR13" s="15">
        <v>4</v>
      </c>
      <c r="DS13" s="15">
        <v>5</v>
      </c>
      <c r="DT13" s="15">
        <v>5</v>
      </c>
      <c r="DU13" s="15">
        <v>1</v>
      </c>
      <c r="DV13" s="15">
        <v>3</v>
      </c>
      <c r="DW13" s="15">
        <v>5</v>
      </c>
      <c r="DX13" s="15">
        <v>3</v>
      </c>
      <c r="DY13" s="15">
        <v>4</v>
      </c>
      <c r="DZ13" s="15">
        <v>3</v>
      </c>
      <c r="EA13" s="15">
        <v>5</v>
      </c>
      <c r="EB13" s="15">
        <v>5</v>
      </c>
      <c r="EC13" s="15">
        <v>2</v>
      </c>
      <c r="ED13" s="15">
        <v>3</v>
      </c>
      <c r="EE13" s="15">
        <v>1</v>
      </c>
      <c r="EF13" s="15">
        <v>3</v>
      </c>
      <c r="EG13" s="15">
        <v>1</v>
      </c>
      <c r="EH13" s="15">
        <v>4</v>
      </c>
      <c r="EI13" s="15">
        <v>1</v>
      </c>
      <c r="EJ13" s="15">
        <v>1</v>
      </c>
      <c r="EK13" s="15">
        <v>5</v>
      </c>
      <c r="EL13" s="15">
        <v>5</v>
      </c>
      <c r="EM13" s="15">
        <v>4</v>
      </c>
      <c r="EN13" s="15">
        <v>3</v>
      </c>
      <c r="EO13" s="15">
        <v>1</v>
      </c>
      <c r="EP13" s="15">
        <v>3</v>
      </c>
      <c r="EQ13" s="15">
        <v>5</v>
      </c>
      <c r="ER13" s="15">
        <v>1</v>
      </c>
      <c r="ES13" s="15">
        <v>3</v>
      </c>
      <c r="ET13" s="15">
        <v>1</v>
      </c>
      <c r="EU13" s="15">
        <v>3</v>
      </c>
      <c r="EV13" s="15">
        <v>4</v>
      </c>
      <c r="EW13" s="15">
        <v>5</v>
      </c>
      <c r="EX13" s="15">
        <v>4</v>
      </c>
      <c r="EY13" s="15">
        <v>1</v>
      </c>
      <c r="EZ13" s="15">
        <v>5</v>
      </c>
      <c r="FA13" s="15">
        <v>1</v>
      </c>
      <c r="FB13" s="15">
        <v>1</v>
      </c>
      <c r="FC13" s="15">
        <v>4</v>
      </c>
      <c r="FD13" s="15">
        <v>4</v>
      </c>
      <c r="FE13" s="15">
        <v>5</v>
      </c>
      <c r="FF13" s="15">
        <v>1</v>
      </c>
      <c r="FG13" s="15">
        <v>5</v>
      </c>
      <c r="FH13" s="15">
        <v>5</v>
      </c>
      <c r="FI13" s="15">
        <v>2</v>
      </c>
      <c r="FJ13" s="15">
        <v>5</v>
      </c>
      <c r="FK13" s="15">
        <v>5</v>
      </c>
      <c r="FL13" s="15">
        <v>4</v>
      </c>
      <c r="FM13" s="15">
        <v>1</v>
      </c>
      <c r="FN13" s="15">
        <v>3</v>
      </c>
      <c r="FO13" s="15">
        <v>1</v>
      </c>
      <c r="FP13" s="15">
        <v>5</v>
      </c>
      <c r="FQ13" s="15">
        <v>3</v>
      </c>
      <c r="FR13" s="15">
        <v>5</v>
      </c>
      <c r="FS13" s="15">
        <v>1</v>
      </c>
      <c r="FT13" s="15">
        <v>3</v>
      </c>
      <c r="FU13" s="15">
        <v>3</v>
      </c>
      <c r="FV13" s="15">
        <v>4</v>
      </c>
      <c r="FW13" s="15">
        <v>1</v>
      </c>
      <c r="FX13" s="15">
        <v>3</v>
      </c>
      <c r="FY13" s="15">
        <v>3</v>
      </c>
      <c r="FZ13" s="15">
        <v>3</v>
      </c>
      <c r="GA13" s="15">
        <v>1</v>
      </c>
      <c r="GB13" s="15">
        <v>1</v>
      </c>
      <c r="GC13" s="15">
        <v>1</v>
      </c>
      <c r="GD13" s="15">
        <v>2</v>
      </c>
      <c r="GE13" s="15">
        <v>4</v>
      </c>
      <c r="GF13" s="15">
        <v>1</v>
      </c>
      <c r="GG13" s="15">
        <v>1</v>
      </c>
      <c r="GH13" s="15">
        <v>2</v>
      </c>
      <c r="GI13" s="15">
        <v>5</v>
      </c>
      <c r="GJ13" s="15">
        <v>4</v>
      </c>
      <c r="GK13" s="15">
        <v>2</v>
      </c>
      <c r="GL13" s="15">
        <v>5</v>
      </c>
      <c r="GM13" s="15">
        <v>3</v>
      </c>
      <c r="GN13" s="15">
        <v>1</v>
      </c>
      <c r="GO13" s="15">
        <v>5</v>
      </c>
      <c r="GP13" s="15">
        <v>1</v>
      </c>
      <c r="GQ13" s="15">
        <v>2</v>
      </c>
      <c r="GR13" s="15">
        <v>1</v>
      </c>
      <c r="GS13" s="15">
        <v>1</v>
      </c>
      <c r="GT13" s="15">
        <v>3</v>
      </c>
      <c r="GU13" s="15">
        <v>5</v>
      </c>
      <c r="GV13" s="15">
        <v>3</v>
      </c>
      <c r="GW13" s="15">
        <v>3</v>
      </c>
      <c r="GX13" s="15">
        <v>5</v>
      </c>
      <c r="GY13" s="15">
        <v>2</v>
      </c>
      <c r="GZ13" s="15">
        <v>3</v>
      </c>
      <c r="HA13" s="15">
        <v>1</v>
      </c>
      <c r="HB13" s="15">
        <v>2</v>
      </c>
      <c r="HC13" s="15">
        <v>5</v>
      </c>
      <c r="HD13" s="15">
        <v>2</v>
      </c>
      <c r="HE13" s="15">
        <v>3</v>
      </c>
      <c r="HF13" s="15">
        <v>2</v>
      </c>
      <c r="HG13" s="15">
        <v>1</v>
      </c>
      <c r="HH13" s="15">
        <v>4</v>
      </c>
      <c r="HI13" s="15">
        <v>5</v>
      </c>
      <c r="HJ13" s="15">
        <v>1</v>
      </c>
      <c r="HK13" s="15">
        <v>1</v>
      </c>
      <c r="HL13" s="15">
        <v>1</v>
      </c>
      <c r="HM13" s="15">
        <v>5</v>
      </c>
      <c r="HN13" s="15">
        <v>1</v>
      </c>
      <c r="HO13" s="15">
        <v>2</v>
      </c>
      <c r="HP13" s="15">
        <v>1</v>
      </c>
      <c r="HQ13" s="15">
        <v>3</v>
      </c>
      <c r="HR13" s="15">
        <v>5</v>
      </c>
      <c r="HS13" s="15">
        <v>5</v>
      </c>
      <c r="HT13" s="15">
        <v>2</v>
      </c>
      <c r="HU13" s="15">
        <v>1</v>
      </c>
      <c r="HV13" s="15">
        <v>1</v>
      </c>
      <c r="HW13" s="15">
        <v>4</v>
      </c>
      <c r="HX13" s="15">
        <v>3.5</v>
      </c>
      <c r="HY13" s="15">
        <v>4.75</v>
      </c>
      <c r="HZ13" s="15">
        <v>4.25</v>
      </c>
      <c r="IA13" s="15">
        <v>3.5</v>
      </c>
      <c r="IB13" s="15">
        <v>5</v>
      </c>
      <c r="IC13" s="15">
        <v>2.5</v>
      </c>
      <c r="ID13" s="15">
        <v>1.25</v>
      </c>
      <c r="IE13" s="15">
        <v>2</v>
      </c>
      <c r="IF13" s="15">
        <v>1.5</v>
      </c>
      <c r="IG13" s="15">
        <v>1.75</v>
      </c>
      <c r="IH13" s="15">
        <v>1.25</v>
      </c>
      <c r="II13" s="15">
        <v>4.5</v>
      </c>
      <c r="IJ13" s="15">
        <v>3.25</v>
      </c>
      <c r="IK13" s="15">
        <v>3.25</v>
      </c>
      <c r="IL13" s="15">
        <v>3.25</v>
      </c>
      <c r="IM13" s="15">
        <v>3.75</v>
      </c>
      <c r="IN13" s="15">
        <v>4.5</v>
      </c>
      <c r="IO13" s="15">
        <v>5</v>
      </c>
      <c r="IP13" s="15">
        <v>3.75</v>
      </c>
      <c r="IQ13" s="15">
        <v>4</v>
      </c>
      <c r="IR13" s="15">
        <v>5</v>
      </c>
      <c r="IS13" s="15">
        <v>4.5</v>
      </c>
      <c r="IT13" s="15">
        <v>3.75</v>
      </c>
      <c r="IU13" s="15">
        <v>3.5</v>
      </c>
      <c r="IV13" s="15">
        <v>4.5</v>
      </c>
      <c r="IW13" s="15">
        <v>4.75</v>
      </c>
      <c r="IX13" s="15">
        <v>4.5</v>
      </c>
      <c r="IY13" s="15">
        <v>2.75</v>
      </c>
      <c r="IZ13" s="15">
        <v>4.25</v>
      </c>
    </row>
    <row r="14" spans="1:261" s="12" customFormat="1" x14ac:dyDescent="0.3">
      <c r="A14" s="15">
        <v>14</v>
      </c>
      <c r="B14" s="15" t="s">
        <v>469</v>
      </c>
      <c r="C14" s="16">
        <v>20</v>
      </c>
      <c r="D14" s="15" t="s">
        <v>288</v>
      </c>
      <c r="E14" s="15" t="s">
        <v>259</v>
      </c>
      <c r="F14" s="15" t="s">
        <v>260</v>
      </c>
      <c r="G14" s="15" t="s">
        <v>261</v>
      </c>
      <c r="H14" s="15" t="s">
        <v>269</v>
      </c>
      <c r="I14" s="15" t="s">
        <v>280</v>
      </c>
      <c r="J14" s="15" t="s">
        <v>280</v>
      </c>
      <c r="K14" s="15" t="s">
        <v>307</v>
      </c>
      <c r="L14" s="15" t="s">
        <v>308</v>
      </c>
      <c r="M14" s="15" t="s">
        <v>309</v>
      </c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>
        <v>0</v>
      </c>
      <c r="AE14" s="15">
        <f>2/2</f>
        <v>1</v>
      </c>
      <c r="AF14" s="15">
        <v>38</v>
      </c>
      <c r="AG14" s="15">
        <v>0</v>
      </c>
      <c r="AH14" s="15">
        <v>1</v>
      </c>
      <c r="AI14" s="15">
        <v>0</v>
      </c>
      <c r="AJ14" s="15">
        <v>5</v>
      </c>
      <c r="AK14" s="15">
        <v>4</v>
      </c>
      <c r="AL14" s="15">
        <f>3/8</f>
        <v>0.375</v>
      </c>
      <c r="AM14" s="15">
        <v>-1</v>
      </c>
      <c r="AN14" s="15">
        <v>4.4000000000000004</v>
      </c>
      <c r="AO14" s="15">
        <v>0</v>
      </c>
      <c r="AP14" s="15">
        <f>1/3</f>
        <v>0.33333333333333331</v>
      </c>
      <c r="AQ14" s="15">
        <v>32</v>
      </c>
      <c r="AR14" s="15">
        <v>0.23</v>
      </c>
      <c r="AS14" s="15">
        <v>0</v>
      </c>
      <c r="AT14" s="15"/>
      <c r="AU14" s="15"/>
      <c r="AV14" s="15"/>
      <c r="AW14" s="15"/>
      <c r="AX14" s="15"/>
      <c r="AY14" s="15"/>
      <c r="AZ14" s="15">
        <v>0</v>
      </c>
      <c r="BA14" s="15">
        <f t="shared" si="3"/>
        <v>1</v>
      </c>
      <c r="BB14" s="15">
        <v>9</v>
      </c>
      <c r="BC14" s="15">
        <v>0</v>
      </c>
      <c r="BD14" s="15">
        <v>1</v>
      </c>
      <c r="BE14" s="15">
        <v>0</v>
      </c>
      <c r="BF14" s="15">
        <f>5/5</f>
        <v>1</v>
      </c>
      <c r="BG14" s="15"/>
      <c r="BH14" s="15"/>
      <c r="BI14" s="15"/>
      <c r="BJ14" s="15"/>
      <c r="BK14" s="15">
        <v>0</v>
      </c>
      <c r="BL14" s="15">
        <f t="shared" si="1"/>
        <v>1</v>
      </c>
      <c r="BM14" s="15">
        <v>14</v>
      </c>
      <c r="BN14" s="15">
        <v>0</v>
      </c>
      <c r="BO14" s="15"/>
      <c r="BP14" s="15"/>
      <c r="BQ14" s="15"/>
      <c r="BR14" s="15"/>
      <c r="BS14" s="15">
        <v>0</v>
      </c>
      <c r="BT14" s="15">
        <f>1/2</f>
        <v>0.5</v>
      </c>
      <c r="BU14" s="15">
        <v>21</v>
      </c>
      <c r="BV14" s="15">
        <v>0</v>
      </c>
      <c r="BW14" s="15">
        <v>0</v>
      </c>
      <c r="BX14" s="15"/>
      <c r="BY14" s="15"/>
      <c r="BZ14" s="15">
        <v>1</v>
      </c>
      <c r="CA14" s="15">
        <v>0</v>
      </c>
      <c r="CB14" s="15">
        <v>-1</v>
      </c>
      <c r="CC14" s="15">
        <v>1.05</v>
      </c>
      <c r="CD14" s="15">
        <v>0</v>
      </c>
      <c r="CE14" s="15">
        <f>2/2</f>
        <v>1</v>
      </c>
      <c r="CF14" s="15">
        <v>15.77304</v>
      </c>
      <c r="CG14" s="15">
        <v>5.2499999999999998E-2</v>
      </c>
      <c r="CH14" s="15">
        <v>0</v>
      </c>
      <c r="CI14" s="15"/>
      <c r="CJ14" s="15"/>
      <c r="CK14" s="15">
        <f t="shared" si="0"/>
        <v>127.77303999999999</v>
      </c>
      <c r="CL14" s="15">
        <f>2/8</f>
        <v>0.25</v>
      </c>
      <c r="CM14" s="15">
        <v>2</v>
      </c>
      <c r="CN14" s="15">
        <f>2/5</f>
        <v>0.4</v>
      </c>
      <c r="CO14" s="15">
        <f>2/5</f>
        <v>0.4</v>
      </c>
      <c r="CP14" s="15">
        <v>0</v>
      </c>
      <c r="CQ14" s="15">
        <v>0</v>
      </c>
      <c r="CR14" s="15">
        <v>0.1875</v>
      </c>
      <c r="CS14" s="15">
        <v>0.37272727272727274</v>
      </c>
      <c r="CT14" s="15">
        <v>0</v>
      </c>
      <c r="CU14" s="15">
        <v>183</v>
      </c>
      <c r="CV14" s="15">
        <v>410</v>
      </c>
      <c r="CW14" s="15">
        <v>0</v>
      </c>
      <c r="CX14" s="15"/>
      <c r="CY14" s="15"/>
      <c r="CZ14" s="15"/>
      <c r="DA14" s="15"/>
      <c r="DB14" s="15"/>
      <c r="DC14" s="15"/>
      <c r="DD14" s="15">
        <v>0</v>
      </c>
      <c r="DE14" s="15">
        <v>0</v>
      </c>
      <c r="DF14" s="15">
        <v>5</v>
      </c>
      <c r="DG14" s="15">
        <v>4</v>
      </c>
      <c r="DH14" s="15">
        <v>2</v>
      </c>
      <c r="DI14" s="15">
        <v>2</v>
      </c>
      <c r="DJ14" s="15">
        <v>4</v>
      </c>
      <c r="DK14" s="15">
        <v>5</v>
      </c>
      <c r="DL14" s="15">
        <v>4</v>
      </c>
      <c r="DM14" s="15">
        <v>3</v>
      </c>
      <c r="DN14" s="15">
        <v>4</v>
      </c>
      <c r="DO14" s="15">
        <v>3</v>
      </c>
      <c r="DP14" s="15">
        <v>2</v>
      </c>
      <c r="DQ14" s="15">
        <v>5</v>
      </c>
      <c r="DR14" s="15">
        <v>5</v>
      </c>
      <c r="DS14" s="15">
        <v>4</v>
      </c>
      <c r="DT14" s="15">
        <v>5</v>
      </c>
      <c r="DU14" s="15">
        <v>3</v>
      </c>
      <c r="DV14" s="15">
        <v>5</v>
      </c>
      <c r="DW14" s="15">
        <v>3</v>
      </c>
      <c r="DX14" s="15">
        <v>2</v>
      </c>
      <c r="DY14" s="15">
        <v>5</v>
      </c>
      <c r="DZ14" s="15">
        <v>4</v>
      </c>
      <c r="EA14" s="15">
        <v>5</v>
      </c>
      <c r="EB14" s="15">
        <v>5</v>
      </c>
      <c r="EC14" s="15">
        <v>3</v>
      </c>
      <c r="ED14" s="15">
        <v>3</v>
      </c>
      <c r="EE14" s="15">
        <v>2</v>
      </c>
      <c r="EF14" s="15">
        <v>3</v>
      </c>
      <c r="EG14" s="15">
        <v>4</v>
      </c>
      <c r="EH14" s="15">
        <v>3</v>
      </c>
      <c r="EI14" s="15">
        <v>2</v>
      </c>
      <c r="EJ14" s="15">
        <v>4</v>
      </c>
      <c r="EK14" s="15">
        <v>4</v>
      </c>
      <c r="EL14" s="15">
        <v>4</v>
      </c>
      <c r="EM14" s="15">
        <v>2</v>
      </c>
      <c r="EN14" s="15">
        <v>3</v>
      </c>
      <c r="EO14" s="15">
        <v>5</v>
      </c>
      <c r="EP14" s="15">
        <v>3</v>
      </c>
      <c r="EQ14" s="15">
        <v>5</v>
      </c>
      <c r="ER14" s="15">
        <v>4</v>
      </c>
      <c r="ES14" s="15">
        <v>4</v>
      </c>
      <c r="ET14" s="15">
        <v>1</v>
      </c>
      <c r="EU14" s="15">
        <v>4</v>
      </c>
      <c r="EV14" s="15">
        <v>4</v>
      </c>
      <c r="EW14" s="15">
        <v>4</v>
      </c>
      <c r="EX14" s="15">
        <v>5</v>
      </c>
      <c r="EY14" s="15">
        <v>2</v>
      </c>
      <c r="EZ14" s="15">
        <v>4</v>
      </c>
      <c r="FA14" s="15">
        <v>3</v>
      </c>
      <c r="FB14" s="15">
        <v>2</v>
      </c>
      <c r="FC14" s="15">
        <v>4</v>
      </c>
      <c r="FD14" s="15">
        <v>2</v>
      </c>
      <c r="FE14" s="15">
        <v>4</v>
      </c>
      <c r="FF14" s="15">
        <v>1</v>
      </c>
      <c r="FG14" s="15">
        <v>4</v>
      </c>
      <c r="FH14" s="15">
        <v>4</v>
      </c>
      <c r="FI14" s="15">
        <v>2</v>
      </c>
      <c r="FJ14" s="15">
        <v>4</v>
      </c>
      <c r="FK14" s="15">
        <v>3</v>
      </c>
      <c r="FL14" s="15">
        <v>4</v>
      </c>
      <c r="FM14" s="15">
        <v>4</v>
      </c>
      <c r="FN14" s="15">
        <v>2</v>
      </c>
      <c r="FO14" s="15">
        <v>2</v>
      </c>
      <c r="FP14" s="15">
        <v>4</v>
      </c>
      <c r="FQ14" s="15">
        <v>2</v>
      </c>
      <c r="FR14" s="15">
        <v>4</v>
      </c>
      <c r="FS14" s="15">
        <v>5</v>
      </c>
      <c r="FT14" s="15">
        <v>4</v>
      </c>
      <c r="FU14" s="15">
        <v>2</v>
      </c>
      <c r="FV14" s="15">
        <v>4</v>
      </c>
      <c r="FW14" s="15">
        <v>3</v>
      </c>
      <c r="FX14" s="15">
        <v>2</v>
      </c>
      <c r="FY14" s="15">
        <v>2</v>
      </c>
      <c r="FZ14" s="15">
        <v>4</v>
      </c>
      <c r="GA14" s="15">
        <v>2</v>
      </c>
      <c r="GB14" s="15">
        <v>2</v>
      </c>
      <c r="GC14" s="15">
        <v>3</v>
      </c>
      <c r="GD14" s="15">
        <v>2</v>
      </c>
      <c r="GE14" s="15">
        <v>4</v>
      </c>
      <c r="GF14" s="15">
        <v>2</v>
      </c>
      <c r="GG14" s="15">
        <v>1</v>
      </c>
      <c r="GH14" s="15">
        <v>2</v>
      </c>
      <c r="GI14" s="15">
        <v>4</v>
      </c>
      <c r="GJ14" s="15">
        <v>4</v>
      </c>
      <c r="GK14" s="15">
        <v>2</v>
      </c>
      <c r="GL14" s="15">
        <v>4</v>
      </c>
      <c r="GM14" s="15">
        <v>2</v>
      </c>
      <c r="GN14" s="15">
        <v>2</v>
      </c>
      <c r="GO14" s="15">
        <v>4</v>
      </c>
      <c r="GP14" s="15">
        <v>3</v>
      </c>
      <c r="GQ14" s="15">
        <v>2</v>
      </c>
      <c r="GR14" s="15">
        <v>2</v>
      </c>
      <c r="GS14" s="15">
        <v>4</v>
      </c>
      <c r="GT14" s="15">
        <v>3</v>
      </c>
      <c r="GU14" s="15">
        <v>4</v>
      </c>
      <c r="GV14" s="15">
        <v>4</v>
      </c>
      <c r="GW14" s="15">
        <v>4</v>
      </c>
      <c r="GX14" s="15">
        <v>2</v>
      </c>
      <c r="GY14" s="15">
        <v>2</v>
      </c>
      <c r="GZ14" s="15">
        <v>4</v>
      </c>
      <c r="HA14" s="15">
        <v>2</v>
      </c>
      <c r="HB14" s="15">
        <v>3</v>
      </c>
      <c r="HC14" s="15">
        <v>5</v>
      </c>
      <c r="HD14" s="15">
        <v>2</v>
      </c>
      <c r="HE14" s="15">
        <v>2</v>
      </c>
      <c r="HF14" s="15">
        <v>2</v>
      </c>
      <c r="HG14" s="15">
        <v>2</v>
      </c>
      <c r="HH14" s="15">
        <v>3</v>
      </c>
      <c r="HI14" s="15">
        <v>4</v>
      </c>
      <c r="HJ14" s="15">
        <v>4</v>
      </c>
      <c r="HK14" s="15">
        <v>3</v>
      </c>
      <c r="HL14" s="15">
        <v>1</v>
      </c>
      <c r="HM14" s="15">
        <v>4</v>
      </c>
      <c r="HN14" s="15">
        <v>2</v>
      </c>
      <c r="HO14" s="15">
        <v>2</v>
      </c>
      <c r="HP14" s="15">
        <v>4</v>
      </c>
      <c r="HQ14" s="15">
        <v>3</v>
      </c>
      <c r="HR14" s="15">
        <v>3</v>
      </c>
      <c r="HS14" s="15">
        <v>4</v>
      </c>
      <c r="HT14" s="15">
        <v>3</v>
      </c>
      <c r="HU14" s="15">
        <v>3</v>
      </c>
      <c r="HV14" s="15">
        <v>3</v>
      </c>
      <c r="HW14" s="15">
        <v>3.75</v>
      </c>
      <c r="HX14" s="15">
        <v>3</v>
      </c>
      <c r="HY14" s="15">
        <v>4.25</v>
      </c>
      <c r="HZ14" s="15">
        <v>4.5</v>
      </c>
      <c r="IA14" s="15">
        <v>3.5</v>
      </c>
      <c r="IB14" s="15">
        <v>3.25</v>
      </c>
      <c r="IC14" s="15">
        <v>3.75</v>
      </c>
      <c r="ID14" s="15">
        <v>4.75</v>
      </c>
      <c r="IE14" s="15">
        <v>1.5</v>
      </c>
      <c r="IF14" s="15">
        <v>2.5</v>
      </c>
      <c r="IG14" s="15">
        <v>3</v>
      </c>
      <c r="IH14" s="15">
        <v>2.25</v>
      </c>
      <c r="II14" s="15">
        <v>3.75</v>
      </c>
      <c r="IJ14" s="15">
        <v>3.25</v>
      </c>
      <c r="IK14" s="15">
        <v>4.25</v>
      </c>
      <c r="IL14" s="15">
        <v>3.75</v>
      </c>
      <c r="IM14" s="15">
        <v>3.75</v>
      </c>
      <c r="IN14" s="15">
        <v>3.75</v>
      </c>
      <c r="IO14" s="15">
        <v>3.5</v>
      </c>
      <c r="IP14" s="15">
        <v>3.5</v>
      </c>
      <c r="IQ14" s="15">
        <v>4.25</v>
      </c>
      <c r="IR14" s="15">
        <v>3</v>
      </c>
      <c r="IS14" s="15">
        <v>4.5</v>
      </c>
      <c r="IT14" s="15">
        <v>3.25</v>
      </c>
      <c r="IU14" s="15">
        <v>2</v>
      </c>
      <c r="IV14" s="15">
        <v>2.75</v>
      </c>
      <c r="IW14" s="15">
        <v>4</v>
      </c>
      <c r="IX14" s="15">
        <v>4</v>
      </c>
      <c r="IY14" s="15">
        <v>2.25</v>
      </c>
      <c r="IZ14" s="15">
        <v>3.5</v>
      </c>
    </row>
    <row r="15" spans="1:261" s="12" customFormat="1" x14ac:dyDescent="0.3">
      <c r="A15" s="15">
        <v>15</v>
      </c>
      <c r="B15" s="15" t="s">
        <v>469</v>
      </c>
      <c r="C15" s="16">
        <v>23</v>
      </c>
      <c r="D15" s="15" t="s">
        <v>258</v>
      </c>
      <c r="E15" s="15" t="s">
        <v>259</v>
      </c>
      <c r="F15" s="15" t="s">
        <v>260</v>
      </c>
      <c r="G15" s="15" t="s">
        <v>283</v>
      </c>
      <c r="H15" s="15" t="s">
        <v>269</v>
      </c>
      <c r="I15" s="15" t="s">
        <v>275</v>
      </c>
      <c r="J15" s="15" t="s">
        <v>310</v>
      </c>
      <c r="K15" s="15" t="s">
        <v>307</v>
      </c>
      <c r="L15" s="15" t="s">
        <v>278</v>
      </c>
      <c r="M15" s="15" t="s">
        <v>311</v>
      </c>
      <c r="N15" s="15">
        <v>0</v>
      </c>
      <c r="O15" s="15">
        <f>2/3</f>
        <v>0.66666666666666663</v>
      </c>
      <c r="P15" s="15">
        <v>4.7654230000000002</v>
      </c>
      <c r="Q15" s="15">
        <f>0</f>
        <v>0</v>
      </c>
      <c r="R15" s="15"/>
      <c r="S15" s="15"/>
      <c r="T15" s="15"/>
      <c r="U15" s="15"/>
      <c r="V15" s="15">
        <v>3</v>
      </c>
      <c r="W15" s="15">
        <f>8/8</f>
        <v>1</v>
      </c>
      <c r="X15" s="15">
        <v>21.805764</v>
      </c>
      <c r="Y15" s="15">
        <f>1.1*2+1.0025+0.76</f>
        <v>3.9625000000000004</v>
      </c>
      <c r="Z15" s="15"/>
      <c r="AA15" s="15"/>
      <c r="AB15" s="15"/>
      <c r="AC15" s="15"/>
      <c r="AD15" s="15">
        <v>0</v>
      </c>
      <c r="AE15" s="15">
        <f>2/2</f>
        <v>1</v>
      </c>
      <c r="AF15" s="15">
        <v>25.207082999999997</v>
      </c>
      <c r="AG15" s="15">
        <v>0</v>
      </c>
      <c r="AH15" s="15">
        <v>0</v>
      </c>
      <c r="AI15" s="15"/>
      <c r="AJ15" s="15"/>
      <c r="AK15" s="15">
        <v>5</v>
      </c>
      <c r="AL15" s="15">
        <f>3/8</f>
        <v>0.375</v>
      </c>
      <c r="AM15" s="15">
        <v>15.524627000000001</v>
      </c>
      <c r="AN15" s="15">
        <v>5.1000000000000005</v>
      </c>
      <c r="AO15" s="15"/>
      <c r="AP15" s="15"/>
      <c r="AQ15" s="15"/>
      <c r="AR15" s="15"/>
      <c r="AS15" s="15">
        <v>0</v>
      </c>
      <c r="AT15" s="15"/>
      <c r="AU15" s="15"/>
      <c r="AV15" s="15">
        <v>0</v>
      </c>
      <c r="AW15" s="15">
        <f>2/4</f>
        <v>0.5</v>
      </c>
      <c r="AX15" s="15">
        <v>12.019897</v>
      </c>
      <c r="AY15" s="15">
        <f>0.8</f>
        <v>0.8</v>
      </c>
      <c r="AZ15" s="15">
        <v>0</v>
      </c>
      <c r="BA15" s="15">
        <f t="shared" si="3"/>
        <v>1</v>
      </c>
      <c r="BB15" s="15">
        <v>5.7535730000000003</v>
      </c>
      <c r="BC15" s="15">
        <v>0</v>
      </c>
      <c r="BD15" s="15">
        <f>1</f>
        <v>1</v>
      </c>
      <c r="BE15" s="15">
        <v>1</v>
      </c>
      <c r="BF15" s="15">
        <f>3/5</f>
        <v>0.6</v>
      </c>
      <c r="BG15" s="15">
        <v>1</v>
      </c>
      <c r="BH15" s="15">
        <f>5/5</f>
        <v>1</v>
      </c>
      <c r="BI15" s="15">
        <v>23.987946000000001</v>
      </c>
      <c r="BJ15" s="15">
        <f>1.05</f>
        <v>1.05</v>
      </c>
      <c r="BK15" s="15"/>
      <c r="BL15" s="15"/>
      <c r="BM15" s="15"/>
      <c r="BN15" s="15"/>
      <c r="BO15" s="15"/>
      <c r="BP15" s="15"/>
      <c r="BQ15" s="15"/>
      <c r="BR15" s="15"/>
      <c r="BS15" s="15">
        <v>0</v>
      </c>
      <c r="BT15" s="15">
        <f>2/2</f>
        <v>1</v>
      </c>
      <c r="BU15" s="15">
        <v>7.2324739999999998</v>
      </c>
      <c r="BV15" s="15">
        <v>0</v>
      </c>
      <c r="BW15" s="15">
        <v>0</v>
      </c>
      <c r="BX15" s="15"/>
      <c r="BY15" s="15"/>
      <c r="BZ15" s="15"/>
      <c r="CA15" s="15"/>
      <c r="CB15" s="15"/>
      <c r="CC15" s="15"/>
      <c r="CD15" s="15">
        <v>0</v>
      </c>
      <c r="CE15" s="15">
        <f>2/2</f>
        <v>1</v>
      </c>
      <c r="CF15" s="15">
        <v>11.386163</v>
      </c>
      <c r="CG15" s="15">
        <f>0.03</f>
        <v>0.03</v>
      </c>
      <c r="CH15" s="15">
        <v>0</v>
      </c>
      <c r="CI15" s="15"/>
      <c r="CJ15" s="15"/>
      <c r="CK15" s="15">
        <f t="shared" si="0"/>
        <v>127.68294999999999</v>
      </c>
      <c r="CL15" s="15">
        <f>5/8</f>
        <v>0.625</v>
      </c>
      <c r="CM15" s="15">
        <v>0</v>
      </c>
      <c r="CN15" s="15">
        <f>1/5</f>
        <v>0.2</v>
      </c>
      <c r="CO15" s="15">
        <f>1/5</f>
        <v>0.2</v>
      </c>
      <c r="CP15" s="15">
        <v>0</v>
      </c>
      <c r="CQ15" s="15">
        <v>1</v>
      </c>
      <c r="CR15" s="15">
        <v>0</v>
      </c>
      <c r="CS15" s="15">
        <v>0.19090909090909092</v>
      </c>
      <c r="CT15" s="15">
        <v>0</v>
      </c>
      <c r="CU15" s="15">
        <v>133</v>
      </c>
      <c r="CV15" s="15">
        <v>210</v>
      </c>
      <c r="CW15" s="15">
        <v>0</v>
      </c>
      <c r="CX15" s="15"/>
      <c r="CY15" s="15"/>
      <c r="CZ15" s="15"/>
      <c r="DA15" s="15"/>
      <c r="DB15" s="15"/>
      <c r="DC15" s="15"/>
      <c r="DD15" s="15">
        <v>0</v>
      </c>
      <c r="DE15" s="15">
        <v>0</v>
      </c>
      <c r="DF15" s="15">
        <v>4</v>
      </c>
      <c r="DG15" s="15">
        <v>4</v>
      </c>
      <c r="DH15" s="15">
        <v>4</v>
      </c>
      <c r="DI15" s="15">
        <v>4</v>
      </c>
      <c r="DJ15" s="15">
        <v>4</v>
      </c>
      <c r="DK15" s="15">
        <v>2</v>
      </c>
      <c r="DL15" s="15">
        <v>3</v>
      </c>
      <c r="DM15" s="15">
        <v>4</v>
      </c>
      <c r="DN15" s="15">
        <v>2</v>
      </c>
      <c r="DO15" s="15">
        <v>3</v>
      </c>
      <c r="DP15" s="15">
        <v>2</v>
      </c>
      <c r="DQ15" s="15">
        <v>4</v>
      </c>
      <c r="DR15" s="15">
        <v>3</v>
      </c>
      <c r="DS15" s="15">
        <v>4</v>
      </c>
      <c r="DT15" s="15">
        <v>5</v>
      </c>
      <c r="DU15" s="15">
        <v>2</v>
      </c>
      <c r="DV15" s="15">
        <v>3</v>
      </c>
      <c r="DW15" s="15">
        <v>3</v>
      </c>
      <c r="DX15" s="15">
        <v>5</v>
      </c>
      <c r="DY15" s="15">
        <v>5</v>
      </c>
      <c r="DZ15" s="15">
        <v>2</v>
      </c>
      <c r="EA15" s="15">
        <v>3</v>
      </c>
      <c r="EB15" s="15">
        <v>4</v>
      </c>
      <c r="EC15" s="15">
        <v>3</v>
      </c>
      <c r="ED15" s="15">
        <v>3</v>
      </c>
      <c r="EE15" s="15">
        <v>1</v>
      </c>
      <c r="EF15" s="15">
        <v>4</v>
      </c>
      <c r="EG15" s="15">
        <v>3</v>
      </c>
      <c r="EH15" s="15">
        <v>3</v>
      </c>
      <c r="EI15" s="15">
        <v>2</v>
      </c>
      <c r="EJ15" s="15">
        <v>3</v>
      </c>
      <c r="EK15" s="15">
        <v>4</v>
      </c>
      <c r="EL15" s="15">
        <v>3</v>
      </c>
      <c r="EM15" s="15">
        <v>4</v>
      </c>
      <c r="EN15" s="15">
        <v>4</v>
      </c>
      <c r="EO15" s="15">
        <v>2</v>
      </c>
      <c r="EP15" s="15">
        <v>3</v>
      </c>
      <c r="EQ15" s="15">
        <v>4</v>
      </c>
      <c r="ER15" s="15">
        <v>3</v>
      </c>
      <c r="ES15" s="15">
        <v>2</v>
      </c>
      <c r="ET15" s="15">
        <v>1</v>
      </c>
      <c r="EU15" s="15">
        <v>3</v>
      </c>
      <c r="EV15" s="15">
        <v>4</v>
      </c>
      <c r="EW15" s="15">
        <v>4</v>
      </c>
      <c r="EX15" s="15">
        <v>5</v>
      </c>
      <c r="EY15" s="15">
        <v>3</v>
      </c>
      <c r="EZ15" s="15">
        <v>3</v>
      </c>
      <c r="FA15" s="15">
        <v>2</v>
      </c>
      <c r="FB15" s="15">
        <v>1</v>
      </c>
      <c r="FC15" s="15">
        <v>4</v>
      </c>
      <c r="FD15" s="15">
        <v>3</v>
      </c>
      <c r="FE15" s="15">
        <v>3</v>
      </c>
      <c r="FF15" s="15">
        <v>1</v>
      </c>
      <c r="FG15" s="15">
        <v>4</v>
      </c>
      <c r="FH15" s="15">
        <v>4</v>
      </c>
      <c r="FI15" s="15">
        <v>2</v>
      </c>
      <c r="FJ15" s="15">
        <v>4</v>
      </c>
      <c r="FK15" s="15">
        <v>2</v>
      </c>
      <c r="FL15" s="15">
        <v>4</v>
      </c>
      <c r="FM15" s="15">
        <v>2</v>
      </c>
      <c r="FN15" s="15">
        <v>2</v>
      </c>
      <c r="FO15" s="15">
        <v>2</v>
      </c>
      <c r="FP15" s="15">
        <v>3</v>
      </c>
      <c r="FQ15" s="15">
        <v>3</v>
      </c>
      <c r="FR15" s="15">
        <v>4</v>
      </c>
      <c r="FS15" s="15">
        <v>2</v>
      </c>
      <c r="FT15" s="15">
        <v>2</v>
      </c>
      <c r="FU15" s="15">
        <v>2</v>
      </c>
      <c r="FV15" s="15" t="s">
        <v>312</v>
      </c>
      <c r="FW15" s="15">
        <v>2</v>
      </c>
      <c r="FX15" s="15">
        <v>2</v>
      </c>
      <c r="FY15" s="15">
        <v>2</v>
      </c>
      <c r="FZ15" s="15">
        <v>4</v>
      </c>
      <c r="GA15" s="15">
        <v>2</v>
      </c>
      <c r="GB15" s="15">
        <v>1</v>
      </c>
      <c r="GC15" s="15">
        <v>2</v>
      </c>
      <c r="GD15" s="15">
        <v>3</v>
      </c>
      <c r="GE15" s="15">
        <v>4</v>
      </c>
      <c r="GF15" s="15">
        <v>2</v>
      </c>
      <c r="GG15" s="15">
        <v>1</v>
      </c>
      <c r="GH15" s="15">
        <v>1</v>
      </c>
      <c r="GI15" s="15">
        <v>3</v>
      </c>
      <c r="GJ15" s="15">
        <v>3</v>
      </c>
      <c r="GK15" s="15">
        <v>1</v>
      </c>
      <c r="GL15" s="15">
        <v>4</v>
      </c>
      <c r="GM15" s="15">
        <v>2</v>
      </c>
      <c r="GN15" s="15">
        <v>1</v>
      </c>
      <c r="GO15" s="15">
        <v>5</v>
      </c>
      <c r="GP15" s="15">
        <v>3</v>
      </c>
      <c r="GQ15" s="15">
        <v>2</v>
      </c>
      <c r="GR15" s="15">
        <v>2</v>
      </c>
      <c r="GS15" s="15">
        <v>3</v>
      </c>
      <c r="GT15" s="15">
        <v>2</v>
      </c>
      <c r="GU15" s="15">
        <v>3</v>
      </c>
      <c r="GV15" s="15">
        <v>2</v>
      </c>
      <c r="GW15" s="15">
        <v>4</v>
      </c>
      <c r="GX15" s="15">
        <v>4</v>
      </c>
      <c r="GY15" s="15">
        <v>4</v>
      </c>
      <c r="GZ15" s="15">
        <v>2</v>
      </c>
      <c r="HA15" s="15">
        <v>2</v>
      </c>
      <c r="HB15" s="15">
        <v>1</v>
      </c>
      <c r="HC15" s="15">
        <v>5</v>
      </c>
      <c r="HD15" s="15">
        <v>3</v>
      </c>
      <c r="HE15" s="15">
        <v>2</v>
      </c>
      <c r="HF15" s="15">
        <v>1</v>
      </c>
      <c r="HG15" s="15">
        <v>1</v>
      </c>
      <c r="HH15" s="15">
        <v>1</v>
      </c>
      <c r="HI15" s="15">
        <v>4</v>
      </c>
      <c r="HJ15" s="15">
        <v>3</v>
      </c>
      <c r="HK15" s="15">
        <v>2</v>
      </c>
      <c r="HL15" s="15">
        <v>1</v>
      </c>
      <c r="HM15" s="15">
        <v>4</v>
      </c>
      <c r="HN15" s="15">
        <v>1</v>
      </c>
      <c r="HO15" s="15">
        <v>1</v>
      </c>
      <c r="HP15" s="15">
        <v>1</v>
      </c>
      <c r="HQ15" s="15">
        <v>2</v>
      </c>
      <c r="HR15" s="15">
        <v>4</v>
      </c>
      <c r="HS15" s="15">
        <v>5</v>
      </c>
      <c r="HT15" s="15">
        <v>3</v>
      </c>
      <c r="HU15" s="15">
        <v>2</v>
      </c>
      <c r="HV15" s="15">
        <v>2</v>
      </c>
      <c r="HW15" s="15">
        <v>4</v>
      </c>
      <c r="HX15" s="15">
        <v>4</v>
      </c>
      <c r="HY15" s="15">
        <v>4.75</v>
      </c>
      <c r="HZ15" s="15">
        <v>4.75</v>
      </c>
      <c r="IA15" s="15">
        <v>3.75</v>
      </c>
      <c r="IB15" s="15">
        <v>4</v>
      </c>
      <c r="IC15" s="15">
        <v>3</v>
      </c>
      <c r="ID15" s="15">
        <v>2</v>
      </c>
      <c r="IE15" s="15">
        <v>1.5</v>
      </c>
      <c r="IF15" s="15">
        <v>3.25</v>
      </c>
      <c r="IG15" s="15">
        <v>2.5</v>
      </c>
      <c r="IH15" s="15">
        <v>1.5</v>
      </c>
      <c r="II15" s="15">
        <v>4</v>
      </c>
      <c r="IJ15" s="15">
        <v>3</v>
      </c>
      <c r="IK15" s="15">
        <v>3.5</v>
      </c>
      <c r="IL15" s="15">
        <v>3</v>
      </c>
      <c r="IM15" s="15">
        <v>2.5</v>
      </c>
      <c r="IN15" s="15">
        <v>4.5</v>
      </c>
      <c r="IO15" s="15">
        <v>3.25</v>
      </c>
      <c r="IP15" s="15">
        <v>4</v>
      </c>
      <c r="IQ15" s="15">
        <v>3.75</v>
      </c>
      <c r="IR15" s="15">
        <v>3.5</v>
      </c>
      <c r="IS15" s="15">
        <v>4.75</v>
      </c>
      <c r="IT15" s="15">
        <v>2.75</v>
      </c>
      <c r="IU15" s="15">
        <v>3.75</v>
      </c>
      <c r="IV15" s="15">
        <v>3.75</v>
      </c>
      <c r="IW15" s="15">
        <v>4.5</v>
      </c>
      <c r="IX15" s="15">
        <v>3.75</v>
      </c>
      <c r="IY15" s="15">
        <v>3</v>
      </c>
      <c r="IZ15" s="15">
        <v>3.75</v>
      </c>
    </row>
    <row r="16" spans="1:261" s="12" customFormat="1" x14ac:dyDescent="0.3">
      <c r="A16" s="15">
        <v>16</v>
      </c>
      <c r="B16" s="15" t="s">
        <v>469</v>
      </c>
      <c r="C16" s="16">
        <v>21</v>
      </c>
      <c r="D16" s="15" t="s">
        <v>258</v>
      </c>
      <c r="E16" s="15" t="s">
        <v>259</v>
      </c>
      <c r="F16" s="15" t="s">
        <v>260</v>
      </c>
      <c r="G16" s="15" t="s">
        <v>261</v>
      </c>
      <c r="H16" s="15" t="s">
        <v>269</v>
      </c>
      <c r="I16" s="15" t="s">
        <v>280</v>
      </c>
      <c r="J16" s="15" t="s">
        <v>313</v>
      </c>
      <c r="K16" s="15" t="s">
        <v>272</v>
      </c>
      <c r="L16" s="15" t="s">
        <v>314</v>
      </c>
      <c r="M16" s="15" t="s">
        <v>315</v>
      </c>
      <c r="N16" s="15"/>
      <c r="O16" s="15"/>
      <c r="P16" s="15"/>
      <c r="Q16" s="15"/>
      <c r="R16" s="15"/>
      <c r="S16" s="15"/>
      <c r="T16" s="15"/>
      <c r="U16" s="15"/>
      <c r="V16" s="15">
        <v>4</v>
      </c>
      <c r="W16" s="15">
        <f>8/8</f>
        <v>1</v>
      </c>
      <c r="X16" s="15"/>
      <c r="Y16" s="15">
        <f>1.1*3+1.0025</f>
        <v>4.3025000000000002</v>
      </c>
      <c r="Z16" s="15">
        <v>2</v>
      </c>
      <c r="AA16" s="15">
        <f>1/5</f>
        <v>0.2</v>
      </c>
      <c r="AB16" s="15"/>
      <c r="AC16" s="15">
        <f>1.05*2</f>
        <v>2.1</v>
      </c>
      <c r="AD16" s="15">
        <v>0</v>
      </c>
      <c r="AE16" s="15">
        <f>2/2</f>
        <v>1</v>
      </c>
      <c r="AF16" s="15">
        <f>3941.424/1000</f>
        <v>3.941424</v>
      </c>
      <c r="AG16" s="15">
        <v>0</v>
      </c>
      <c r="AH16" s="15">
        <v>0</v>
      </c>
      <c r="AI16" s="15"/>
      <c r="AJ16" s="15"/>
      <c r="AK16" s="15"/>
      <c r="AL16" s="15"/>
      <c r="AM16" s="15"/>
      <c r="AN16" s="15"/>
      <c r="AO16" s="15">
        <v>0</v>
      </c>
      <c r="AP16" s="15">
        <f>2/2</f>
        <v>1</v>
      </c>
      <c r="AQ16" s="15">
        <f>5791.902/1000</f>
        <v>5.7919020000000003</v>
      </c>
      <c r="AR16" s="15">
        <f>0.0675</f>
        <v>6.7500000000000004E-2</v>
      </c>
      <c r="AS16" s="15">
        <v>0</v>
      </c>
      <c r="AT16" s="15"/>
      <c r="AU16" s="15"/>
      <c r="AV16" s="15"/>
      <c r="AW16" s="15"/>
      <c r="AX16" s="15"/>
      <c r="AY16" s="15"/>
      <c r="AZ16" s="15">
        <v>0</v>
      </c>
      <c r="BA16" s="15">
        <f t="shared" si="3"/>
        <v>1</v>
      </c>
      <c r="BB16" s="15">
        <f>5263.602/1000</f>
        <v>5.2636019999999997</v>
      </c>
      <c r="BC16" s="15">
        <f>0</f>
        <v>0</v>
      </c>
      <c r="BD16" s="15">
        <v>0</v>
      </c>
      <c r="BE16" s="15"/>
      <c r="BF16" s="15"/>
      <c r="BG16" s="15"/>
      <c r="BH16" s="15"/>
      <c r="BI16" s="15"/>
      <c r="BJ16" s="15"/>
      <c r="BK16" s="15">
        <v>0</v>
      </c>
      <c r="BL16" s="15">
        <f>2/2</f>
        <v>1</v>
      </c>
      <c r="BM16" s="15">
        <f>9382.331/1000</f>
        <v>9.3823310000000006</v>
      </c>
      <c r="BN16" s="15">
        <f>0</f>
        <v>0</v>
      </c>
      <c r="BO16" s="15"/>
      <c r="BP16" s="15"/>
      <c r="BQ16" s="15"/>
      <c r="BR16" s="15"/>
      <c r="BS16" s="15">
        <v>0</v>
      </c>
      <c r="BT16" s="15">
        <f>2/2</f>
        <v>1</v>
      </c>
      <c r="BU16" s="15">
        <f>11752.528/1000</f>
        <v>11.752528</v>
      </c>
      <c r="BV16" s="15">
        <v>0</v>
      </c>
      <c r="BW16" s="15">
        <v>0</v>
      </c>
      <c r="BX16" s="15"/>
      <c r="BY16" s="15"/>
      <c r="BZ16" s="15">
        <v>4</v>
      </c>
      <c r="CA16" s="15">
        <f>3/5</f>
        <v>0.6</v>
      </c>
      <c r="CB16" s="15">
        <f>14149.496/1000</f>
        <v>14.149495999999999</v>
      </c>
      <c r="CC16" s="15">
        <f>1.02*3+1.1</f>
        <v>4.16</v>
      </c>
      <c r="CD16" s="15">
        <v>0</v>
      </c>
      <c r="CE16" s="15">
        <f>1/2</f>
        <v>0.5</v>
      </c>
      <c r="CF16" s="15">
        <f>11854.515/1000</f>
        <v>11.854514999999999</v>
      </c>
      <c r="CG16" s="15">
        <f>0.2525</f>
        <v>0.2525</v>
      </c>
      <c r="CH16" s="15">
        <v>0</v>
      </c>
      <c r="CI16" s="15"/>
      <c r="CJ16" s="15"/>
      <c r="CK16" s="15">
        <f t="shared" si="0"/>
        <v>62.135798000000001</v>
      </c>
      <c r="CL16" s="15">
        <f>3/8</f>
        <v>0.375</v>
      </c>
      <c r="CM16" s="15">
        <v>2</v>
      </c>
      <c r="CN16" s="15">
        <v>0</v>
      </c>
      <c r="CO16" s="15">
        <v>0</v>
      </c>
      <c r="CP16" s="15">
        <v>0</v>
      </c>
      <c r="CQ16" s="15">
        <v>0</v>
      </c>
      <c r="CR16" s="15">
        <v>0.125</v>
      </c>
      <c r="CS16" s="15">
        <v>0.24545454545454545</v>
      </c>
      <c r="CT16" s="15">
        <v>1</v>
      </c>
      <c r="CU16" s="15">
        <v>131</v>
      </c>
      <c r="CV16" s="15">
        <v>370</v>
      </c>
      <c r="CW16" s="15">
        <v>1</v>
      </c>
      <c r="CX16" s="15">
        <v>1</v>
      </c>
      <c r="CY16" s="15">
        <v>1</v>
      </c>
      <c r="CZ16" s="15">
        <v>3</v>
      </c>
      <c r="DA16" s="15">
        <v>317</v>
      </c>
      <c r="DB16" s="15">
        <v>1400</v>
      </c>
      <c r="DC16" s="15">
        <v>3</v>
      </c>
      <c r="DD16" s="15">
        <v>1</v>
      </c>
      <c r="DE16" s="15">
        <v>0</v>
      </c>
      <c r="DF16" s="15">
        <v>4</v>
      </c>
      <c r="DG16" s="15">
        <v>4</v>
      </c>
      <c r="DH16" s="15">
        <v>3</v>
      </c>
      <c r="DI16" s="15">
        <v>4</v>
      </c>
      <c r="DJ16" s="15">
        <v>4</v>
      </c>
      <c r="DK16" s="15">
        <v>2</v>
      </c>
      <c r="DL16" s="15">
        <v>1</v>
      </c>
      <c r="DM16" s="15">
        <v>5</v>
      </c>
      <c r="DN16" s="15">
        <v>2</v>
      </c>
      <c r="DO16" s="15">
        <v>3</v>
      </c>
      <c r="DP16" s="15">
        <v>2</v>
      </c>
      <c r="DQ16" s="15">
        <v>3</v>
      </c>
      <c r="DR16" s="15">
        <v>4</v>
      </c>
      <c r="DS16" s="15">
        <v>4</v>
      </c>
      <c r="DT16" s="15">
        <v>5</v>
      </c>
      <c r="DU16" s="15">
        <v>3</v>
      </c>
      <c r="DV16" s="15">
        <v>2</v>
      </c>
      <c r="DW16" s="15">
        <v>3</v>
      </c>
      <c r="DX16" s="15">
        <v>2</v>
      </c>
      <c r="DY16" s="15">
        <v>3</v>
      </c>
      <c r="DZ16" s="15">
        <v>2</v>
      </c>
      <c r="EA16" s="15">
        <v>4</v>
      </c>
      <c r="EB16" s="15">
        <v>3</v>
      </c>
      <c r="EC16" s="15">
        <v>2</v>
      </c>
      <c r="ED16" s="15">
        <v>2</v>
      </c>
      <c r="EE16" s="15">
        <v>2</v>
      </c>
      <c r="EF16" s="15">
        <v>3</v>
      </c>
      <c r="EG16" s="15">
        <v>3</v>
      </c>
      <c r="EH16" s="15">
        <v>3</v>
      </c>
      <c r="EI16" s="15">
        <v>4</v>
      </c>
      <c r="EJ16" s="15">
        <v>4</v>
      </c>
      <c r="EK16" s="15">
        <v>4</v>
      </c>
      <c r="EL16" s="15">
        <v>4</v>
      </c>
      <c r="EM16" s="15">
        <v>5</v>
      </c>
      <c r="EN16" s="15">
        <v>3</v>
      </c>
      <c r="EO16" s="15">
        <v>2</v>
      </c>
      <c r="EP16" s="15">
        <v>3</v>
      </c>
      <c r="EQ16" s="15">
        <v>3</v>
      </c>
      <c r="ER16" s="15">
        <v>2</v>
      </c>
      <c r="ES16" s="15">
        <v>3</v>
      </c>
      <c r="ET16" s="15">
        <v>2</v>
      </c>
      <c r="EU16" s="15">
        <v>4</v>
      </c>
      <c r="EV16" s="15">
        <v>4</v>
      </c>
      <c r="EW16" s="15">
        <v>4</v>
      </c>
      <c r="EX16" s="15">
        <v>4</v>
      </c>
      <c r="EY16" s="15">
        <v>3</v>
      </c>
      <c r="EZ16" s="15">
        <v>3</v>
      </c>
      <c r="FA16" s="15">
        <v>4</v>
      </c>
      <c r="FB16" s="15">
        <v>1</v>
      </c>
      <c r="FC16" s="15">
        <v>4</v>
      </c>
      <c r="FD16" s="15">
        <v>2</v>
      </c>
      <c r="FE16" s="15">
        <v>3</v>
      </c>
      <c r="FF16" s="15">
        <v>2</v>
      </c>
      <c r="FG16" s="15">
        <v>3</v>
      </c>
      <c r="FH16" s="15">
        <v>4</v>
      </c>
      <c r="FI16" s="15">
        <v>2</v>
      </c>
      <c r="FJ16" s="15">
        <v>4</v>
      </c>
      <c r="FK16" s="15">
        <v>4</v>
      </c>
      <c r="FL16" s="15">
        <v>4</v>
      </c>
      <c r="FM16" s="15">
        <v>3</v>
      </c>
      <c r="FN16" s="15">
        <v>2</v>
      </c>
      <c r="FO16" s="15">
        <v>1</v>
      </c>
      <c r="FP16" s="15">
        <v>3</v>
      </c>
      <c r="FQ16" s="15">
        <v>4</v>
      </c>
      <c r="FR16" s="15">
        <v>2</v>
      </c>
      <c r="FS16" s="15">
        <v>2</v>
      </c>
      <c r="FT16" s="15">
        <v>1</v>
      </c>
      <c r="FU16" s="15">
        <v>3</v>
      </c>
      <c r="FV16" s="15">
        <v>4</v>
      </c>
      <c r="FW16" s="15">
        <v>2</v>
      </c>
      <c r="FX16" s="15">
        <v>3</v>
      </c>
      <c r="FY16" s="15">
        <v>2</v>
      </c>
      <c r="FZ16" s="15">
        <v>4</v>
      </c>
      <c r="GA16" s="15">
        <v>2</v>
      </c>
      <c r="GB16" s="15">
        <v>1</v>
      </c>
      <c r="GC16" s="15">
        <v>2</v>
      </c>
      <c r="GD16" s="15">
        <v>3</v>
      </c>
      <c r="GE16" s="15">
        <v>4</v>
      </c>
      <c r="GF16" s="15">
        <v>3</v>
      </c>
      <c r="GG16" s="15">
        <v>2</v>
      </c>
      <c r="GH16" s="15">
        <v>2</v>
      </c>
      <c r="GI16" s="15">
        <v>3</v>
      </c>
      <c r="GJ16" s="15">
        <v>4</v>
      </c>
      <c r="GK16" s="15">
        <v>2</v>
      </c>
      <c r="GL16" s="15">
        <v>3</v>
      </c>
      <c r="GM16" s="15">
        <v>3</v>
      </c>
      <c r="GN16" s="15">
        <v>2</v>
      </c>
      <c r="GO16" s="15">
        <v>3</v>
      </c>
      <c r="GP16" s="15">
        <v>3</v>
      </c>
      <c r="GQ16" s="15">
        <v>2</v>
      </c>
      <c r="GR16" s="15">
        <v>3</v>
      </c>
      <c r="GS16" s="15">
        <v>2</v>
      </c>
      <c r="GT16" s="15">
        <v>2</v>
      </c>
      <c r="GU16" s="15">
        <v>3</v>
      </c>
      <c r="GV16" s="15">
        <v>1</v>
      </c>
      <c r="GW16" s="15">
        <v>4</v>
      </c>
      <c r="GX16" s="15">
        <v>3</v>
      </c>
      <c r="GY16" s="15">
        <v>4</v>
      </c>
      <c r="GZ16" s="15">
        <v>1</v>
      </c>
      <c r="HA16" s="15">
        <v>2</v>
      </c>
      <c r="HB16" s="15">
        <v>1</v>
      </c>
      <c r="HC16" s="15">
        <v>4</v>
      </c>
      <c r="HD16" s="15">
        <v>3</v>
      </c>
      <c r="HE16" s="15">
        <v>2</v>
      </c>
      <c r="HF16" s="15">
        <v>2</v>
      </c>
      <c r="HG16" s="15">
        <v>1</v>
      </c>
      <c r="HH16" s="15">
        <v>3</v>
      </c>
      <c r="HI16" s="15">
        <v>4</v>
      </c>
      <c r="HJ16" s="15">
        <v>3</v>
      </c>
      <c r="HK16" s="15">
        <v>2</v>
      </c>
      <c r="HL16" s="15">
        <v>2</v>
      </c>
      <c r="HM16" s="15">
        <v>3</v>
      </c>
      <c r="HN16" s="15">
        <v>2</v>
      </c>
      <c r="HO16" s="15">
        <v>2</v>
      </c>
      <c r="HP16" s="15">
        <v>2</v>
      </c>
      <c r="HQ16" s="15">
        <v>3</v>
      </c>
      <c r="HR16" s="15">
        <v>3</v>
      </c>
      <c r="HS16" s="15">
        <v>4</v>
      </c>
      <c r="HT16" s="15">
        <v>2</v>
      </c>
      <c r="HU16" s="15">
        <v>3</v>
      </c>
      <c r="HV16" s="15">
        <v>3</v>
      </c>
      <c r="HW16" s="15">
        <v>3.25</v>
      </c>
      <c r="HX16" s="15">
        <v>3.5</v>
      </c>
      <c r="HY16" s="15">
        <v>4.5</v>
      </c>
      <c r="HZ16" s="15">
        <v>3.75</v>
      </c>
      <c r="IA16" s="15">
        <v>3</v>
      </c>
      <c r="IB16" s="15">
        <v>2.75</v>
      </c>
      <c r="IC16" s="15">
        <v>3</v>
      </c>
      <c r="ID16" s="15">
        <v>2.25</v>
      </c>
      <c r="IE16" s="15">
        <v>2</v>
      </c>
      <c r="IF16" s="15">
        <v>3</v>
      </c>
      <c r="IG16" s="15">
        <v>3</v>
      </c>
      <c r="IH16" s="15">
        <v>2.25</v>
      </c>
      <c r="II16" s="15">
        <v>4.25</v>
      </c>
      <c r="IJ16" s="15">
        <v>2.75</v>
      </c>
      <c r="IK16" s="15">
        <v>3.5</v>
      </c>
      <c r="IL16" s="15">
        <v>2.75</v>
      </c>
      <c r="IM16" s="15">
        <v>3.25</v>
      </c>
      <c r="IN16" s="15">
        <v>3.5</v>
      </c>
      <c r="IO16" s="15">
        <v>3.25</v>
      </c>
      <c r="IP16" s="15">
        <v>4</v>
      </c>
      <c r="IQ16" s="15">
        <v>4</v>
      </c>
      <c r="IR16" s="15">
        <v>2.75</v>
      </c>
      <c r="IS16" s="15">
        <v>3.75</v>
      </c>
      <c r="IT16" s="15">
        <v>3.5</v>
      </c>
      <c r="IU16" s="15">
        <v>4.5</v>
      </c>
      <c r="IV16" s="15">
        <v>4</v>
      </c>
      <c r="IW16" s="15">
        <v>4.25</v>
      </c>
      <c r="IX16" s="15">
        <v>4.25</v>
      </c>
      <c r="IY16" s="15">
        <v>3.5</v>
      </c>
      <c r="IZ16" s="15">
        <v>3.5</v>
      </c>
    </row>
    <row r="17" spans="1:260" s="12" customFormat="1" x14ac:dyDescent="0.3">
      <c r="A17" s="15">
        <v>17</v>
      </c>
      <c r="B17" s="15" t="s">
        <v>469</v>
      </c>
      <c r="C17" s="16">
        <v>18</v>
      </c>
      <c r="D17" s="15" t="s">
        <v>288</v>
      </c>
      <c r="E17" s="15" t="s">
        <v>259</v>
      </c>
      <c r="F17" s="15" t="s">
        <v>260</v>
      </c>
      <c r="G17" s="15" t="s">
        <v>261</v>
      </c>
      <c r="H17" s="15" t="s">
        <v>316</v>
      </c>
      <c r="I17" s="15" t="s">
        <v>280</v>
      </c>
      <c r="J17" s="15" t="s">
        <v>313</v>
      </c>
      <c r="K17" s="15" t="s">
        <v>272</v>
      </c>
      <c r="L17" s="15" t="s">
        <v>281</v>
      </c>
      <c r="M17" s="15" t="s">
        <v>317</v>
      </c>
      <c r="N17" s="15">
        <v>0</v>
      </c>
      <c r="O17" s="15">
        <f>2/3</f>
        <v>0.66666666666666663</v>
      </c>
      <c r="P17" s="15">
        <v>44</v>
      </c>
      <c r="Q17" s="15">
        <v>0</v>
      </c>
      <c r="R17" s="15"/>
      <c r="S17" s="15"/>
      <c r="T17" s="15"/>
      <c r="U17" s="15"/>
      <c r="V17" s="15">
        <v>0</v>
      </c>
      <c r="W17" s="15">
        <f>8/8</f>
        <v>1</v>
      </c>
      <c r="X17" s="15">
        <v>26</v>
      </c>
      <c r="Y17" s="15">
        <v>0.97</v>
      </c>
      <c r="Z17" s="15"/>
      <c r="AA17" s="15"/>
      <c r="AB17" s="15"/>
      <c r="AC17" s="15"/>
      <c r="AD17" s="15">
        <v>0</v>
      </c>
      <c r="AE17" s="15">
        <f>2/2</f>
        <v>1</v>
      </c>
      <c r="AF17" s="15">
        <v>28</v>
      </c>
      <c r="AG17" s="15">
        <v>0</v>
      </c>
      <c r="AH17" s="15">
        <v>0</v>
      </c>
      <c r="AI17" s="15"/>
      <c r="AJ17" s="15"/>
      <c r="AK17" s="15">
        <v>3</v>
      </c>
      <c r="AL17" s="15">
        <f>3/8</f>
        <v>0.375</v>
      </c>
      <c r="AM17" s="15">
        <v>44</v>
      </c>
      <c r="AN17" s="15">
        <v>2.2000000000000002</v>
      </c>
      <c r="AO17" s="15">
        <v>0</v>
      </c>
      <c r="AP17" s="15">
        <f>3/3</f>
        <v>1</v>
      </c>
      <c r="AQ17" s="15">
        <v>31</v>
      </c>
      <c r="AR17" s="15">
        <v>0.31</v>
      </c>
      <c r="AS17" s="15">
        <v>1</v>
      </c>
      <c r="AT17" s="15">
        <v>1</v>
      </c>
      <c r="AU17" s="15">
        <v>0</v>
      </c>
      <c r="AV17" s="15"/>
      <c r="AW17" s="15"/>
      <c r="AX17" s="15"/>
      <c r="AY17" s="15"/>
      <c r="AZ17" s="15">
        <v>0</v>
      </c>
      <c r="BA17" s="15">
        <f t="shared" si="3"/>
        <v>1</v>
      </c>
      <c r="BB17" s="15">
        <v>17</v>
      </c>
      <c r="BC17" s="15">
        <v>0</v>
      </c>
      <c r="BD17" s="15">
        <v>0</v>
      </c>
      <c r="BE17" s="15"/>
      <c r="BF17" s="15"/>
      <c r="BG17" s="15">
        <v>3</v>
      </c>
      <c r="BH17" s="15">
        <v>0</v>
      </c>
      <c r="BI17" s="15"/>
      <c r="BJ17" s="15">
        <v>3.02</v>
      </c>
      <c r="BK17" s="15">
        <v>0</v>
      </c>
      <c r="BL17" s="15">
        <f>2/2</f>
        <v>1</v>
      </c>
      <c r="BM17" s="15">
        <v>17</v>
      </c>
      <c r="BN17" s="15">
        <v>0</v>
      </c>
      <c r="BO17" s="15"/>
      <c r="BP17" s="15"/>
      <c r="BQ17" s="15"/>
      <c r="BR17" s="15"/>
      <c r="BS17" s="15">
        <v>0</v>
      </c>
      <c r="BT17" s="15">
        <f>2/2</f>
        <v>1</v>
      </c>
      <c r="BU17" s="15">
        <v>26</v>
      </c>
      <c r="BV17" s="15">
        <v>0</v>
      </c>
      <c r="BW17" s="15">
        <v>0</v>
      </c>
      <c r="BX17" s="15"/>
      <c r="BY17" s="15"/>
      <c r="BZ17" s="15"/>
      <c r="CA17" s="15"/>
      <c r="CB17" s="15"/>
      <c r="CC17" s="15"/>
      <c r="CD17" s="15">
        <v>0</v>
      </c>
      <c r="CE17" s="15">
        <f>2/2</f>
        <v>1</v>
      </c>
      <c r="CF17" s="15">
        <v>11.764519999999999</v>
      </c>
      <c r="CG17" s="15">
        <v>2.75E-2</v>
      </c>
      <c r="CH17" s="15">
        <v>0</v>
      </c>
      <c r="CI17" s="15"/>
      <c r="CJ17" s="15"/>
      <c r="CK17" s="15">
        <f t="shared" si="0"/>
        <v>244.76452</v>
      </c>
      <c r="CL17" s="15">
        <f>4/8</f>
        <v>0.5</v>
      </c>
      <c r="CM17" s="15">
        <v>2</v>
      </c>
      <c r="CN17" s="15">
        <f>1/5</f>
        <v>0.2</v>
      </c>
      <c r="CO17" s="15">
        <f>1/5</f>
        <v>0.2</v>
      </c>
      <c r="CP17" s="15">
        <v>0</v>
      </c>
      <c r="CQ17" s="15">
        <v>1</v>
      </c>
      <c r="CR17" s="15">
        <v>0.66666666666666663</v>
      </c>
      <c r="CS17" s="15">
        <v>0.78181818181818186</v>
      </c>
      <c r="CT17" s="15">
        <v>3</v>
      </c>
      <c r="CU17" s="15">
        <v>351</v>
      </c>
      <c r="CV17" s="15">
        <v>1160</v>
      </c>
      <c r="CW17" s="15">
        <v>2</v>
      </c>
      <c r="CX17" s="15"/>
      <c r="CY17" s="15"/>
      <c r="CZ17" s="15"/>
      <c r="DA17" s="15"/>
      <c r="DB17" s="15"/>
      <c r="DC17" s="15"/>
      <c r="DD17" s="15">
        <v>0</v>
      </c>
      <c r="DE17" s="15">
        <v>0</v>
      </c>
      <c r="DF17" s="15">
        <v>4</v>
      </c>
      <c r="DG17" s="15">
        <v>4</v>
      </c>
      <c r="DH17" s="15">
        <v>2</v>
      </c>
      <c r="DI17" s="15">
        <v>2</v>
      </c>
      <c r="DJ17" s="15">
        <v>4</v>
      </c>
      <c r="DK17" s="15">
        <v>3</v>
      </c>
      <c r="DL17" s="15">
        <v>2</v>
      </c>
      <c r="DM17" s="15">
        <v>4</v>
      </c>
      <c r="DN17" s="15">
        <v>2</v>
      </c>
      <c r="DO17" s="15">
        <v>4</v>
      </c>
      <c r="DP17" s="15">
        <v>2</v>
      </c>
      <c r="DQ17" s="15">
        <v>3</v>
      </c>
      <c r="DR17" s="15">
        <v>4</v>
      </c>
      <c r="DS17" s="15">
        <v>4</v>
      </c>
      <c r="DT17" s="15">
        <v>4</v>
      </c>
      <c r="DU17" s="15">
        <v>3</v>
      </c>
      <c r="DV17" s="15">
        <v>3</v>
      </c>
      <c r="DW17" s="15">
        <v>2</v>
      </c>
      <c r="DX17" s="15">
        <v>1</v>
      </c>
      <c r="DY17" s="15">
        <v>4</v>
      </c>
      <c r="DZ17" s="15">
        <v>4</v>
      </c>
      <c r="EA17" s="15">
        <v>3</v>
      </c>
      <c r="EB17" s="15">
        <v>4</v>
      </c>
      <c r="EC17" s="15">
        <v>1</v>
      </c>
      <c r="ED17" s="15">
        <v>3</v>
      </c>
      <c r="EE17" s="15">
        <v>3</v>
      </c>
      <c r="EF17" s="15">
        <v>3</v>
      </c>
      <c r="EG17" s="15">
        <v>4</v>
      </c>
      <c r="EH17" s="15">
        <v>4</v>
      </c>
      <c r="EI17" s="15">
        <v>2</v>
      </c>
      <c r="EJ17" s="15">
        <v>4</v>
      </c>
      <c r="EK17" s="15">
        <v>4</v>
      </c>
      <c r="EL17" s="15">
        <v>3</v>
      </c>
      <c r="EM17" s="15">
        <v>3</v>
      </c>
      <c r="EN17" s="15">
        <v>4</v>
      </c>
      <c r="EO17" s="15">
        <v>4</v>
      </c>
      <c r="EP17" s="15">
        <v>3</v>
      </c>
      <c r="EQ17" s="15">
        <v>4</v>
      </c>
      <c r="ER17" s="15">
        <v>1</v>
      </c>
      <c r="ES17" s="15">
        <v>1</v>
      </c>
      <c r="ET17" s="15">
        <v>2</v>
      </c>
      <c r="EU17" s="15">
        <v>2</v>
      </c>
      <c r="EV17" s="15">
        <v>3</v>
      </c>
      <c r="EW17" s="15">
        <v>4</v>
      </c>
      <c r="EX17" s="15">
        <v>4</v>
      </c>
      <c r="EY17" s="15">
        <v>3</v>
      </c>
      <c r="EZ17" s="15">
        <v>4</v>
      </c>
      <c r="FA17" s="15">
        <v>3</v>
      </c>
      <c r="FB17" s="15">
        <v>1</v>
      </c>
      <c r="FC17" s="15">
        <v>3</v>
      </c>
      <c r="FD17" s="15">
        <v>3</v>
      </c>
      <c r="FE17" s="15">
        <v>4</v>
      </c>
      <c r="FF17" s="15">
        <v>2</v>
      </c>
      <c r="FG17" s="15">
        <v>4</v>
      </c>
      <c r="FH17" s="15">
        <v>4</v>
      </c>
      <c r="FI17" s="15">
        <v>3</v>
      </c>
      <c r="FJ17" s="15">
        <v>4</v>
      </c>
      <c r="FK17" s="15">
        <v>4</v>
      </c>
      <c r="FL17" s="15">
        <v>4</v>
      </c>
      <c r="FM17" s="15">
        <v>2</v>
      </c>
      <c r="FN17" s="15">
        <v>3</v>
      </c>
      <c r="FO17" s="15">
        <v>3</v>
      </c>
      <c r="FP17" s="15">
        <v>2</v>
      </c>
      <c r="FQ17" s="15">
        <v>2</v>
      </c>
      <c r="FR17" s="15">
        <v>3</v>
      </c>
      <c r="FS17" s="15">
        <v>4</v>
      </c>
      <c r="FT17" s="15">
        <v>4</v>
      </c>
      <c r="FU17" s="15">
        <v>2</v>
      </c>
      <c r="FV17" s="15">
        <v>4</v>
      </c>
      <c r="FW17" s="15">
        <v>2</v>
      </c>
      <c r="FX17" s="15">
        <v>1</v>
      </c>
      <c r="FY17" s="15">
        <v>3</v>
      </c>
      <c r="FZ17" s="15">
        <v>3</v>
      </c>
      <c r="GA17" s="15">
        <v>2</v>
      </c>
      <c r="GB17" s="15">
        <v>2</v>
      </c>
      <c r="GC17" s="15">
        <v>3</v>
      </c>
      <c r="GD17" s="15">
        <v>3</v>
      </c>
      <c r="GE17" s="15">
        <v>4</v>
      </c>
      <c r="GF17" s="15">
        <v>4</v>
      </c>
      <c r="GG17" s="15">
        <v>1</v>
      </c>
      <c r="GH17" s="15">
        <v>2</v>
      </c>
      <c r="GI17" s="15">
        <v>3</v>
      </c>
      <c r="GJ17" s="15">
        <v>3</v>
      </c>
      <c r="GK17" s="15">
        <v>2</v>
      </c>
      <c r="GL17" s="15">
        <v>4</v>
      </c>
      <c r="GM17" s="15">
        <v>2</v>
      </c>
      <c r="GN17" s="15">
        <v>2</v>
      </c>
      <c r="GO17" s="15">
        <v>3</v>
      </c>
      <c r="GP17" s="15">
        <v>1</v>
      </c>
      <c r="GQ17" s="15">
        <v>2</v>
      </c>
      <c r="GR17" s="15">
        <v>3</v>
      </c>
      <c r="GS17" s="15">
        <v>4</v>
      </c>
      <c r="GT17" s="15">
        <v>3</v>
      </c>
      <c r="GU17" s="15">
        <v>3</v>
      </c>
      <c r="GV17" s="15">
        <v>4</v>
      </c>
      <c r="GW17" s="15">
        <v>3</v>
      </c>
      <c r="GX17" s="15">
        <v>2</v>
      </c>
      <c r="GY17" s="15">
        <v>5</v>
      </c>
      <c r="GZ17" s="15">
        <v>2</v>
      </c>
      <c r="HA17" s="15">
        <v>1</v>
      </c>
      <c r="HB17" s="15">
        <v>2</v>
      </c>
      <c r="HC17" s="15">
        <v>4</v>
      </c>
      <c r="HD17" s="15">
        <v>3</v>
      </c>
      <c r="HE17" s="15">
        <v>1</v>
      </c>
      <c r="HF17" s="15">
        <v>2</v>
      </c>
      <c r="HG17" s="15">
        <v>2</v>
      </c>
      <c r="HH17" s="15">
        <v>3</v>
      </c>
      <c r="HI17" s="15">
        <v>4</v>
      </c>
      <c r="HJ17" s="15">
        <v>2</v>
      </c>
      <c r="HK17" s="15">
        <v>2</v>
      </c>
      <c r="HL17" s="15">
        <v>1</v>
      </c>
      <c r="HM17" s="15">
        <v>4</v>
      </c>
      <c r="HN17" s="15">
        <v>2</v>
      </c>
      <c r="HO17" s="15">
        <v>3</v>
      </c>
      <c r="HP17" s="15">
        <v>2</v>
      </c>
      <c r="HQ17" s="15">
        <v>3</v>
      </c>
      <c r="HR17" s="15">
        <v>3</v>
      </c>
      <c r="HS17" s="15">
        <v>4</v>
      </c>
      <c r="HT17" s="15">
        <v>4</v>
      </c>
      <c r="HU17" s="15">
        <v>2</v>
      </c>
      <c r="HV17" s="15">
        <v>1</v>
      </c>
      <c r="HW17" s="15">
        <v>3.5</v>
      </c>
      <c r="HX17" s="15">
        <v>4.5</v>
      </c>
      <c r="HY17" s="15">
        <v>3.75</v>
      </c>
      <c r="HZ17" s="15">
        <v>4</v>
      </c>
      <c r="IA17" s="15">
        <v>3.5</v>
      </c>
      <c r="IB17" s="15">
        <v>4</v>
      </c>
      <c r="IC17" s="15">
        <v>3.75</v>
      </c>
      <c r="ID17" s="15">
        <v>3.75</v>
      </c>
      <c r="IE17" s="15">
        <v>2.25</v>
      </c>
      <c r="IF17" s="15">
        <v>3</v>
      </c>
      <c r="IG17" s="15">
        <v>3</v>
      </c>
      <c r="IH17" s="15">
        <v>2.75</v>
      </c>
      <c r="II17" s="15">
        <v>3.5</v>
      </c>
      <c r="IJ17" s="15">
        <v>2</v>
      </c>
      <c r="IK17" s="15">
        <v>2.75</v>
      </c>
      <c r="IL17" s="15">
        <v>3.25</v>
      </c>
      <c r="IM17" s="15">
        <v>3</v>
      </c>
      <c r="IN17" s="15">
        <v>3.5</v>
      </c>
      <c r="IO17" s="15">
        <v>2.5</v>
      </c>
      <c r="IP17" s="15">
        <v>4</v>
      </c>
      <c r="IQ17" s="15">
        <v>4</v>
      </c>
      <c r="IR17" s="15">
        <v>2.75</v>
      </c>
      <c r="IS17" s="15">
        <v>3.75</v>
      </c>
      <c r="IT17" s="15">
        <v>3.75</v>
      </c>
      <c r="IU17" s="15">
        <v>2.25</v>
      </c>
      <c r="IV17" s="15">
        <v>4.5</v>
      </c>
      <c r="IW17" s="15">
        <v>4</v>
      </c>
      <c r="IX17" s="15">
        <v>4.75</v>
      </c>
      <c r="IY17" s="15">
        <v>3.25</v>
      </c>
      <c r="IZ17" s="15">
        <v>4</v>
      </c>
    </row>
    <row r="18" spans="1:260" s="12" customFormat="1" x14ac:dyDescent="0.3">
      <c r="A18" s="15">
        <v>18</v>
      </c>
      <c r="B18" s="15" t="s">
        <v>469</v>
      </c>
      <c r="C18" s="16">
        <v>23</v>
      </c>
      <c r="D18" s="15" t="s">
        <v>258</v>
      </c>
      <c r="E18" s="15" t="s">
        <v>259</v>
      </c>
      <c r="F18" s="15" t="s">
        <v>260</v>
      </c>
      <c r="G18" s="15" t="s">
        <v>268</v>
      </c>
      <c r="H18" s="15" t="s">
        <v>269</v>
      </c>
      <c r="I18" s="15" t="s">
        <v>280</v>
      </c>
      <c r="J18" s="15" t="s">
        <v>318</v>
      </c>
      <c r="K18" s="15" t="s">
        <v>272</v>
      </c>
      <c r="L18" s="15" t="s">
        <v>319</v>
      </c>
      <c r="M18" s="15" t="s">
        <v>320</v>
      </c>
      <c r="N18" s="15">
        <v>1</v>
      </c>
      <c r="O18" s="15">
        <f>2/3</f>
        <v>0.66666666666666663</v>
      </c>
      <c r="P18" s="15">
        <f>3436.172/1000</f>
        <v>3.436172</v>
      </c>
      <c r="Q18" s="15">
        <f>1+0.3</f>
        <v>1.3</v>
      </c>
      <c r="R18" s="15"/>
      <c r="S18" s="15"/>
      <c r="T18" s="15"/>
      <c r="U18" s="15"/>
      <c r="V18" s="15">
        <v>1</v>
      </c>
      <c r="W18" s="15">
        <f>0</f>
        <v>0</v>
      </c>
      <c r="X18" s="15">
        <f>8361.668/1000</f>
        <v>8.3616679999999999</v>
      </c>
      <c r="Y18" s="15">
        <f>1.1</f>
        <v>1.1000000000000001</v>
      </c>
      <c r="Z18" s="15">
        <v>0</v>
      </c>
      <c r="AA18" s="15">
        <f>5/5</f>
        <v>1</v>
      </c>
      <c r="AB18" s="15">
        <f>AVERAGE(12956.01,7338.096)/1000</f>
        <v>10.147053</v>
      </c>
      <c r="AC18" s="15">
        <f>1</f>
        <v>1</v>
      </c>
      <c r="AD18" s="15"/>
      <c r="AE18" s="15"/>
      <c r="AF18" s="15"/>
      <c r="AG18" s="15"/>
      <c r="AH18" s="15">
        <v>1</v>
      </c>
      <c r="AI18" s="15">
        <v>1</v>
      </c>
      <c r="AJ18" s="15">
        <f>3/5</f>
        <v>0.6</v>
      </c>
      <c r="AK18" s="15">
        <v>8</v>
      </c>
      <c r="AL18" s="15">
        <f>7/8</f>
        <v>0.875</v>
      </c>
      <c r="AM18" s="15">
        <f>26031.124/1000</f>
        <v>26.031123999999998</v>
      </c>
      <c r="AN18" s="15">
        <f>1.1*3+1.25+1.05*2</f>
        <v>6.65</v>
      </c>
      <c r="AO18" s="15"/>
      <c r="AP18" s="15"/>
      <c r="AQ18" s="15"/>
      <c r="AR18" s="15"/>
      <c r="AS18" s="15">
        <v>0</v>
      </c>
      <c r="AT18" s="15"/>
      <c r="AU18" s="15"/>
      <c r="AV18" s="15"/>
      <c r="AW18" s="15"/>
      <c r="AX18" s="15"/>
      <c r="AY18" s="15"/>
      <c r="AZ18" s="15">
        <v>0</v>
      </c>
      <c r="BA18" s="15">
        <f t="shared" si="3"/>
        <v>1</v>
      </c>
      <c r="BB18" s="15">
        <f>36288.257/1000</f>
        <v>36.288256999999994</v>
      </c>
      <c r="BC18" s="15">
        <v>0</v>
      </c>
      <c r="BD18" s="15">
        <f>1</f>
        <v>1</v>
      </c>
      <c r="BE18" s="15">
        <v>0</v>
      </c>
      <c r="BF18" s="15">
        <f>5/5</f>
        <v>1</v>
      </c>
      <c r="BG18" s="15">
        <v>1</v>
      </c>
      <c r="BH18" s="15">
        <f>5/5</f>
        <v>1</v>
      </c>
      <c r="BI18" s="15">
        <f>49091.653/1000</f>
        <v>49.091653000000001</v>
      </c>
      <c r="BJ18" s="15">
        <f>0.75</f>
        <v>0.75</v>
      </c>
      <c r="BK18" s="15"/>
      <c r="BL18" s="15"/>
      <c r="BM18" s="15"/>
      <c r="BN18" s="15"/>
      <c r="BO18" s="15">
        <v>0</v>
      </c>
      <c r="BP18" s="15">
        <f>5/5</f>
        <v>1</v>
      </c>
      <c r="BQ18" s="15">
        <f>10064.778/1000</f>
        <v>10.064778</v>
      </c>
      <c r="BR18" s="15">
        <v>0</v>
      </c>
      <c r="BS18" s="15"/>
      <c r="BT18" s="15"/>
      <c r="BU18" s="15"/>
      <c r="BV18" s="15"/>
      <c r="BW18" s="15">
        <v>0</v>
      </c>
      <c r="BX18" s="15"/>
      <c r="BY18" s="15"/>
      <c r="BZ18" s="15">
        <f>4</f>
        <v>4</v>
      </c>
      <c r="CA18" s="15">
        <f>4/5</f>
        <v>0.8</v>
      </c>
      <c r="CB18" s="15">
        <f>19049.413/1000</f>
        <v>19.049413000000001</v>
      </c>
      <c r="CC18" s="15">
        <f>1.05*3+1.15</f>
        <v>4.3000000000000007</v>
      </c>
      <c r="CD18" s="15"/>
      <c r="CE18" s="15"/>
      <c r="CF18" s="15"/>
      <c r="CG18" s="15"/>
      <c r="CH18" s="15">
        <v>0</v>
      </c>
      <c r="CI18" s="15"/>
      <c r="CJ18" s="15"/>
      <c r="CK18" s="15">
        <f t="shared" si="0"/>
        <v>162.47011800000001</v>
      </c>
      <c r="CL18" s="15">
        <f>7/8</f>
        <v>0.875</v>
      </c>
      <c r="CM18" s="15">
        <v>0</v>
      </c>
      <c r="CN18" s="15">
        <f>2/5</f>
        <v>0.4</v>
      </c>
      <c r="CO18" s="15">
        <f>2/5</f>
        <v>0.4</v>
      </c>
      <c r="CP18" s="15">
        <v>0</v>
      </c>
      <c r="CQ18" s="15">
        <v>1</v>
      </c>
      <c r="CR18" s="15">
        <v>1</v>
      </c>
      <c r="CS18" s="15">
        <v>1</v>
      </c>
      <c r="CT18" s="15">
        <v>2</v>
      </c>
      <c r="CU18" s="15">
        <v>354</v>
      </c>
      <c r="CV18" s="15">
        <v>1300</v>
      </c>
      <c r="CW18" s="15">
        <v>2</v>
      </c>
      <c r="CX18" s="15"/>
      <c r="CY18" s="15"/>
      <c r="CZ18" s="15"/>
      <c r="DA18" s="15"/>
      <c r="DB18" s="15"/>
      <c r="DC18" s="15"/>
      <c r="DD18" s="15">
        <v>0</v>
      </c>
      <c r="DE18" s="15">
        <v>0</v>
      </c>
      <c r="DF18" s="15">
        <v>5</v>
      </c>
      <c r="DG18" s="15">
        <v>4</v>
      </c>
      <c r="DH18" s="15">
        <v>4</v>
      </c>
      <c r="DI18" s="15">
        <v>4</v>
      </c>
      <c r="DJ18" s="15">
        <v>4</v>
      </c>
      <c r="DK18" s="15">
        <v>2</v>
      </c>
      <c r="DL18" s="15">
        <v>4</v>
      </c>
      <c r="DM18" s="15">
        <v>4</v>
      </c>
      <c r="DN18" s="15">
        <v>1</v>
      </c>
      <c r="DO18" s="15">
        <v>4</v>
      </c>
      <c r="DP18" s="15">
        <v>1</v>
      </c>
      <c r="DQ18" s="15">
        <v>3</v>
      </c>
      <c r="DR18" s="15">
        <v>3</v>
      </c>
      <c r="DS18" s="15">
        <v>5</v>
      </c>
      <c r="DT18" s="15">
        <v>4</v>
      </c>
      <c r="DU18" s="15">
        <v>3</v>
      </c>
      <c r="DV18" s="15">
        <v>3</v>
      </c>
      <c r="DW18" s="15">
        <v>2</v>
      </c>
      <c r="DX18" s="15">
        <v>2</v>
      </c>
      <c r="DY18" s="15">
        <v>4</v>
      </c>
      <c r="DZ18" s="15">
        <v>3</v>
      </c>
      <c r="EA18" s="15">
        <v>5</v>
      </c>
      <c r="EB18" s="15">
        <v>5</v>
      </c>
      <c r="EC18" s="15">
        <v>3</v>
      </c>
      <c r="ED18" s="15">
        <v>3</v>
      </c>
      <c r="EE18" s="15">
        <v>1</v>
      </c>
      <c r="EF18" s="15">
        <v>3</v>
      </c>
      <c r="EG18" s="15">
        <v>4</v>
      </c>
      <c r="EH18" s="15">
        <v>4</v>
      </c>
      <c r="EI18" s="15">
        <v>1</v>
      </c>
      <c r="EJ18" s="15">
        <v>3</v>
      </c>
      <c r="EK18" s="15">
        <v>5</v>
      </c>
      <c r="EL18" s="15">
        <v>4</v>
      </c>
      <c r="EM18" s="15">
        <v>3</v>
      </c>
      <c r="EN18" s="15">
        <v>3</v>
      </c>
      <c r="EO18" s="15">
        <v>1</v>
      </c>
      <c r="EP18" s="15">
        <v>5</v>
      </c>
      <c r="EQ18" s="15">
        <v>5</v>
      </c>
      <c r="ER18" s="15">
        <v>1</v>
      </c>
      <c r="ES18" s="15">
        <v>3</v>
      </c>
      <c r="ET18" s="15">
        <v>2</v>
      </c>
      <c r="EU18" s="15">
        <v>4</v>
      </c>
      <c r="EV18" s="15">
        <v>4</v>
      </c>
      <c r="EW18" s="15">
        <v>5</v>
      </c>
      <c r="EX18" s="15">
        <v>5</v>
      </c>
      <c r="EY18" s="15">
        <v>4</v>
      </c>
      <c r="EZ18" s="15">
        <v>4</v>
      </c>
      <c r="FA18" s="15">
        <v>1</v>
      </c>
      <c r="FB18" s="15">
        <v>1</v>
      </c>
      <c r="FC18" s="15">
        <v>4</v>
      </c>
      <c r="FD18" s="15">
        <v>2</v>
      </c>
      <c r="FE18" s="15">
        <v>5</v>
      </c>
      <c r="FF18" s="15">
        <v>1</v>
      </c>
      <c r="FG18" s="15">
        <v>4</v>
      </c>
      <c r="FH18" s="15">
        <v>5</v>
      </c>
      <c r="FI18" s="15">
        <v>1</v>
      </c>
      <c r="FJ18" s="15">
        <v>5</v>
      </c>
      <c r="FK18" s="15">
        <v>5</v>
      </c>
      <c r="FL18" s="15">
        <v>4</v>
      </c>
      <c r="FM18" s="15">
        <v>2</v>
      </c>
      <c r="FN18" s="15">
        <v>2</v>
      </c>
      <c r="FO18" s="15">
        <v>1</v>
      </c>
      <c r="FP18" s="15">
        <v>5</v>
      </c>
      <c r="FQ18" s="15">
        <v>4</v>
      </c>
      <c r="FR18" s="15">
        <v>4</v>
      </c>
      <c r="FS18" s="15">
        <v>1</v>
      </c>
      <c r="FT18" s="15">
        <v>1</v>
      </c>
      <c r="FU18" s="15">
        <v>1</v>
      </c>
      <c r="FV18" s="15">
        <v>4</v>
      </c>
      <c r="FW18" s="15">
        <v>1</v>
      </c>
      <c r="FX18" s="15">
        <v>3</v>
      </c>
      <c r="FY18" s="15">
        <v>2</v>
      </c>
      <c r="FZ18" s="15">
        <v>4</v>
      </c>
      <c r="GA18" s="15">
        <v>3</v>
      </c>
      <c r="GB18" s="15">
        <v>1</v>
      </c>
      <c r="GC18" s="15">
        <v>3</v>
      </c>
      <c r="GD18" s="15">
        <v>3</v>
      </c>
      <c r="GE18" s="15">
        <v>4</v>
      </c>
      <c r="GF18" s="15">
        <v>1</v>
      </c>
      <c r="GG18" s="15">
        <v>2</v>
      </c>
      <c r="GH18" s="15">
        <v>2</v>
      </c>
      <c r="GI18" s="15">
        <v>3</v>
      </c>
      <c r="GJ18" s="15">
        <v>4</v>
      </c>
      <c r="GK18" s="15">
        <v>3</v>
      </c>
      <c r="GL18" s="15">
        <v>4</v>
      </c>
      <c r="GM18" s="15">
        <v>3</v>
      </c>
      <c r="GN18" s="15">
        <v>2</v>
      </c>
      <c r="GO18" s="15">
        <v>5</v>
      </c>
      <c r="GP18" s="15">
        <v>1</v>
      </c>
      <c r="GQ18" s="15">
        <v>2</v>
      </c>
      <c r="GR18" s="15">
        <v>2</v>
      </c>
      <c r="GS18" s="15">
        <v>1</v>
      </c>
      <c r="GT18" s="15">
        <v>1</v>
      </c>
      <c r="GU18" s="15">
        <v>3</v>
      </c>
      <c r="GV18" s="15">
        <v>2</v>
      </c>
      <c r="GW18" s="15">
        <v>4</v>
      </c>
      <c r="GX18" s="15">
        <v>4</v>
      </c>
      <c r="GY18" s="15">
        <v>2</v>
      </c>
      <c r="GZ18" s="15">
        <v>1</v>
      </c>
      <c r="HA18" s="15">
        <v>1</v>
      </c>
      <c r="HB18" s="15">
        <v>3</v>
      </c>
      <c r="HC18" s="15">
        <v>4</v>
      </c>
      <c r="HD18" s="15">
        <v>3</v>
      </c>
      <c r="HE18" s="15">
        <v>1</v>
      </c>
      <c r="HF18" s="15">
        <v>1</v>
      </c>
      <c r="HG18" s="15">
        <v>1</v>
      </c>
      <c r="HH18" s="15">
        <v>4</v>
      </c>
      <c r="HI18" s="15">
        <v>4</v>
      </c>
      <c r="HJ18" s="15">
        <v>1</v>
      </c>
      <c r="HK18" s="15">
        <v>1</v>
      </c>
      <c r="HL18" s="15">
        <v>1</v>
      </c>
      <c r="HM18" s="15">
        <v>4</v>
      </c>
      <c r="HN18" s="15">
        <v>1</v>
      </c>
      <c r="HO18" s="15">
        <v>1</v>
      </c>
      <c r="HP18" s="15">
        <v>4</v>
      </c>
      <c r="HQ18" s="15">
        <v>3</v>
      </c>
      <c r="HR18" s="15">
        <v>3</v>
      </c>
      <c r="HS18" s="15">
        <v>4</v>
      </c>
      <c r="HT18" s="15">
        <v>3</v>
      </c>
      <c r="HU18" s="15">
        <v>2</v>
      </c>
      <c r="HV18" s="15">
        <v>2</v>
      </c>
      <c r="HW18" s="15">
        <v>3.75</v>
      </c>
      <c r="HX18" s="15">
        <v>3.25</v>
      </c>
      <c r="HY18" s="15">
        <v>4.25</v>
      </c>
      <c r="HZ18" s="15">
        <v>4.25</v>
      </c>
      <c r="IA18" s="15">
        <v>3.5</v>
      </c>
      <c r="IB18" s="15">
        <v>4.25</v>
      </c>
      <c r="IC18" s="15">
        <v>2.75</v>
      </c>
      <c r="ID18" s="15">
        <v>1.5</v>
      </c>
      <c r="IE18" s="15">
        <v>1.75</v>
      </c>
      <c r="IF18" s="15">
        <v>3</v>
      </c>
      <c r="IG18" s="15">
        <v>3</v>
      </c>
      <c r="IH18" s="15">
        <v>1.75</v>
      </c>
      <c r="II18" s="15">
        <v>4.75</v>
      </c>
      <c r="IJ18" s="15">
        <v>4.5</v>
      </c>
      <c r="IK18" s="15">
        <v>3.5</v>
      </c>
      <c r="IL18" s="15">
        <v>3.25</v>
      </c>
      <c r="IM18" s="15">
        <v>3.75</v>
      </c>
      <c r="IN18" s="15">
        <v>4.25</v>
      </c>
      <c r="IO18" s="15">
        <v>4</v>
      </c>
      <c r="IP18" s="15">
        <v>4.75</v>
      </c>
      <c r="IQ18" s="15">
        <v>3.75</v>
      </c>
      <c r="IR18" s="15">
        <v>4.25</v>
      </c>
      <c r="IS18" s="15">
        <v>4.5</v>
      </c>
      <c r="IT18" s="15">
        <v>4.25</v>
      </c>
      <c r="IU18" s="15">
        <v>3.75</v>
      </c>
      <c r="IV18" s="15">
        <v>5</v>
      </c>
      <c r="IW18" s="15">
        <v>5</v>
      </c>
      <c r="IX18" s="15">
        <v>4.5</v>
      </c>
      <c r="IY18" s="15">
        <v>2.25</v>
      </c>
      <c r="IZ18" s="15">
        <v>4</v>
      </c>
    </row>
    <row r="19" spans="1:260" s="12" customFormat="1" x14ac:dyDescent="0.3">
      <c r="A19" s="15">
        <v>19</v>
      </c>
      <c r="B19" s="15" t="s">
        <v>469</v>
      </c>
      <c r="C19" s="16">
        <v>22</v>
      </c>
      <c r="D19" s="15" t="s">
        <v>258</v>
      </c>
      <c r="E19" s="15" t="s">
        <v>259</v>
      </c>
      <c r="F19" s="15" t="s">
        <v>260</v>
      </c>
      <c r="G19" s="15" t="s">
        <v>283</v>
      </c>
      <c r="H19" s="15" t="s">
        <v>269</v>
      </c>
      <c r="I19" s="15" t="s">
        <v>280</v>
      </c>
      <c r="J19" s="15" t="s">
        <v>276</v>
      </c>
      <c r="K19" s="15" t="s">
        <v>272</v>
      </c>
      <c r="L19" s="15" t="s">
        <v>321</v>
      </c>
      <c r="M19" s="15" t="s">
        <v>322</v>
      </c>
      <c r="N19" s="15">
        <v>0</v>
      </c>
      <c r="O19" s="15">
        <f>3/3</f>
        <v>1</v>
      </c>
      <c r="P19" s="15">
        <v>7.5241069999999999</v>
      </c>
      <c r="Q19" s="15">
        <v>0</v>
      </c>
      <c r="R19" s="15"/>
      <c r="S19" s="15"/>
      <c r="T19" s="15"/>
      <c r="U19" s="15"/>
      <c r="V19" s="15">
        <v>1</v>
      </c>
      <c r="W19" s="15">
        <f>8/8</f>
        <v>1</v>
      </c>
      <c r="X19" s="15">
        <v>28.279114</v>
      </c>
      <c r="Y19" s="15">
        <v>1.814999999999984</v>
      </c>
      <c r="Z19" s="15"/>
      <c r="AA19" s="15"/>
      <c r="AB19" s="15"/>
      <c r="AC19" s="15"/>
      <c r="AD19" s="15">
        <v>0</v>
      </c>
      <c r="AE19" s="15">
        <f t="shared" ref="AE19:AE25" si="4">2/2</f>
        <v>1</v>
      </c>
      <c r="AF19" s="15">
        <v>14.882924000000001</v>
      </c>
      <c r="AG19" s="15">
        <f>0</f>
        <v>0</v>
      </c>
      <c r="AH19" s="15">
        <v>1</v>
      </c>
      <c r="AI19" s="15">
        <v>0</v>
      </c>
      <c r="AJ19" s="15">
        <f>5/5</f>
        <v>1</v>
      </c>
      <c r="AK19" s="15">
        <v>3</v>
      </c>
      <c r="AL19" s="15">
        <f>7/8</f>
        <v>0.875</v>
      </c>
      <c r="AM19" s="15">
        <v>24.514082999999999</v>
      </c>
      <c r="AN19" s="15">
        <v>2.9000000000000004</v>
      </c>
      <c r="AO19" s="15"/>
      <c r="AP19" s="15"/>
      <c r="AQ19" s="15"/>
      <c r="AR19" s="15"/>
      <c r="AS19" s="15">
        <v>0</v>
      </c>
      <c r="AT19" s="15"/>
      <c r="AU19" s="15"/>
      <c r="AV19" s="15"/>
      <c r="AW19" s="15"/>
      <c r="AX19" s="15"/>
      <c r="AY19" s="15"/>
      <c r="AZ19" s="15">
        <v>0</v>
      </c>
      <c r="BA19" s="15">
        <f t="shared" si="3"/>
        <v>1</v>
      </c>
      <c r="BB19" s="15">
        <v>5.256373</v>
      </c>
      <c r="BC19" s="15">
        <v>0</v>
      </c>
      <c r="BD19" s="15">
        <v>0</v>
      </c>
      <c r="BE19" s="15"/>
      <c r="BF19" s="15"/>
      <c r="BG19" s="15">
        <v>1</v>
      </c>
      <c r="BH19" s="15">
        <f>5/5</f>
        <v>1</v>
      </c>
      <c r="BI19" s="15">
        <v>27.865993999999997</v>
      </c>
      <c r="BJ19" s="15">
        <v>1.2</v>
      </c>
      <c r="BK19" s="15"/>
      <c r="BL19" s="15"/>
      <c r="BM19" s="15"/>
      <c r="BN19" s="15"/>
      <c r="BO19" s="15"/>
      <c r="BP19" s="15"/>
      <c r="BQ19" s="15"/>
      <c r="BR19" s="15"/>
      <c r="BS19" s="15">
        <v>0</v>
      </c>
      <c r="BT19" s="15">
        <f>2/2</f>
        <v>1</v>
      </c>
      <c r="BU19" s="15">
        <v>7.5615449999999997</v>
      </c>
      <c r="BV19" s="15">
        <v>0</v>
      </c>
      <c r="BW19" s="15">
        <v>0</v>
      </c>
      <c r="BX19" s="15"/>
      <c r="BY19" s="15"/>
      <c r="BZ19" s="15">
        <v>1</v>
      </c>
      <c r="CA19" s="15">
        <v>0</v>
      </c>
      <c r="CB19" s="15"/>
      <c r="CC19" s="15">
        <f>1.05</f>
        <v>1.05</v>
      </c>
      <c r="CD19" s="15">
        <v>0</v>
      </c>
      <c r="CE19" s="15">
        <f>2/2</f>
        <v>1</v>
      </c>
      <c r="CF19" s="15">
        <v>12.546477000000001</v>
      </c>
      <c r="CG19" s="15">
        <v>2.2499999999999999E-2</v>
      </c>
      <c r="CH19" s="15">
        <v>0</v>
      </c>
      <c r="CI19" s="15"/>
      <c r="CJ19" s="15"/>
      <c r="CK19" s="15">
        <f t="shared" si="0"/>
        <v>128.43061700000001</v>
      </c>
      <c r="CL19" s="15">
        <f>5/8</f>
        <v>0.625</v>
      </c>
      <c r="CM19" s="15">
        <v>0</v>
      </c>
      <c r="CN19" s="15">
        <f t="shared" ref="CN19:CO22" si="5">1/5</f>
        <v>0.2</v>
      </c>
      <c r="CO19" s="15">
        <f t="shared" si="5"/>
        <v>0.2</v>
      </c>
      <c r="CP19" s="15">
        <v>0</v>
      </c>
      <c r="CQ19" s="15">
        <v>1</v>
      </c>
      <c r="CR19" s="15">
        <v>1</v>
      </c>
      <c r="CS19" s="15">
        <v>1</v>
      </c>
      <c r="CT19" s="15">
        <v>3</v>
      </c>
      <c r="CU19" s="15">
        <v>334</v>
      </c>
      <c r="CV19" s="15">
        <v>1400</v>
      </c>
      <c r="CW19" s="15">
        <v>3</v>
      </c>
      <c r="CX19" s="15"/>
      <c r="CY19" s="15"/>
      <c r="CZ19" s="15"/>
      <c r="DA19" s="15"/>
      <c r="DB19" s="15"/>
      <c r="DC19" s="15"/>
      <c r="DD19" s="15">
        <v>0</v>
      </c>
      <c r="DE19" s="15">
        <v>0</v>
      </c>
      <c r="DF19" s="15">
        <v>4</v>
      </c>
      <c r="DG19" s="15">
        <v>3</v>
      </c>
      <c r="DH19" s="15">
        <v>4</v>
      </c>
      <c r="DI19" s="15">
        <v>4</v>
      </c>
      <c r="DJ19" s="15">
        <v>4</v>
      </c>
      <c r="DK19" s="15">
        <v>1</v>
      </c>
      <c r="DL19" s="15">
        <v>3</v>
      </c>
      <c r="DM19" s="15">
        <v>5</v>
      </c>
      <c r="DN19" s="15">
        <v>3</v>
      </c>
      <c r="DO19" s="15">
        <v>4</v>
      </c>
      <c r="DP19" s="15">
        <v>2</v>
      </c>
      <c r="DQ19" s="15">
        <v>4</v>
      </c>
      <c r="DR19" s="15">
        <v>2</v>
      </c>
      <c r="DS19" s="15">
        <v>4</v>
      </c>
      <c r="DT19" s="15">
        <v>4</v>
      </c>
      <c r="DU19" s="15">
        <v>2</v>
      </c>
      <c r="DV19" s="15">
        <v>4</v>
      </c>
      <c r="DW19" s="15">
        <v>3</v>
      </c>
      <c r="DX19" s="15">
        <v>4</v>
      </c>
      <c r="DY19" s="15">
        <v>4</v>
      </c>
      <c r="DZ19" s="15">
        <v>3</v>
      </c>
      <c r="EA19" s="15">
        <v>4</v>
      </c>
      <c r="EB19" s="15">
        <v>4</v>
      </c>
      <c r="EC19" s="15">
        <v>3</v>
      </c>
      <c r="ED19" s="15">
        <v>4</v>
      </c>
      <c r="EE19" s="15">
        <v>1</v>
      </c>
      <c r="EF19" s="15">
        <v>4</v>
      </c>
      <c r="EG19" s="15">
        <v>3</v>
      </c>
      <c r="EH19" s="15">
        <v>3</v>
      </c>
      <c r="EI19" s="15">
        <v>1</v>
      </c>
      <c r="EJ19" s="15">
        <v>1</v>
      </c>
      <c r="EK19" s="15">
        <v>4</v>
      </c>
      <c r="EL19" s="15">
        <v>1</v>
      </c>
      <c r="EM19" s="15">
        <v>3</v>
      </c>
      <c r="EN19" s="15">
        <v>5</v>
      </c>
      <c r="EO19" s="15">
        <v>1</v>
      </c>
      <c r="EP19" s="15">
        <v>2</v>
      </c>
      <c r="EQ19" s="15">
        <v>3</v>
      </c>
      <c r="ER19" s="15">
        <v>1</v>
      </c>
      <c r="ES19" s="15">
        <v>1</v>
      </c>
      <c r="ET19" s="15">
        <v>1</v>
      </c>
      <c r="EU19" s="15">
        <v>3</v>
      </c>
      <c r="EV19" s="15">
        <v>4</v>
      </c>
      <c r="EW19" s="15">
        <v>4</v>
      </c>
      <c r="EX19" s="15">
        <v>5</v>
      </c>
      <c r="EY19" s="15">
        <v>3</v>
      </c>
      <c r="EZ19" s="15">
        <v>5</v>
      </c>
      <c r="FA19" s="15">
        <v>2</v>
      </c>
      <c r="FB19" s="15">
        <v>1</v>
      </c>
      <c r="FC19" s="15">
        <v>4</v>
      </c>
      <c r="FD19" s="15">
        <v>3</v>
      </c>
      <c r="FE19" s="15">
        <v>4</v>
      </c>
      <c r="FF19" s="15">
        <v>1</v>
      </c>
      <c r="FG19" s="15">
        <v>5</v>
      </c>
      <c r="FH19" s="15">
        <v>4</v>
      </c>
      <c r="FI19" s="15">
        <v>1</v>
      </c>
      <c r="FJ19" s="15">
        <v>5</v>
      </c>
      <c r="FK19" s="15">
        <v>5</v>
      </c>
      <c r="FL19" s="15">
        <v>4</v>
      </c>
      <c r="FM19" s="15">
        <v>1</v>
      </c>
      <c r="FN19" s="15">
        <v>1</v>
      </c>
      <c r="FO19" s="15">
        <v>1</v>
      </c>
      <c r="FP19" s="15">
        <v>3</v>
      </c>
      <c r="FQ19" s="15">
        <v>3</v>
      </c>
      <c r="FR19" s="15">
        <v>4</v>
      </c>
      <c r="FS19" s="15">
        <v>1</v>
      </c>
      <c r="FT19" s="15">
        <v>2</v>
      </c>
      <c r="FU19" s="15">
        <v>2</v>
      </c>
      <c r="FV19" s="15" t="s">
        <v>312</v>
      </c>
      <c r="FW19" s="15">
        <v>1</v>
      </c>
      <c r="FX19" s="15">
        <v>2</v>
      </c>
      <c r="FY19" s="15">
        <v>1</v>
      </c>
      <c r="FZ19" s="15">
        <v>4</v>
      </c>
      <c r="GA19" s="15">
        <v>2</v>
      </c>
      <c r="GB19" s="15">
        <v>2</v>
      </c>
      <c r="GC19" s="15">
        <v>3</v>
      </c>
      <c r="GD19" s="15">
        <v>3</v>
      </c>
      <c r="GE19" s="15">
        <v>4</v>
      </c>
      <c r="GF19" s="15">
        <v>2</v>
      </c>
      <c r="GG19" s="15">
        <v>1</v>
      </c>
      <c r="GH19" s="15">
        <v>1</v>
      </c>
      <c r="GI19" s="15">
        <v>4</v>
      </c>
      <c r="GJ19" s="15">
        <v>3</v>
      </c>
      <c r="GK19" s="15">
        <v>1</v>
      </c>
      <c r="GL19" s="15">
        <v>4</v>
      </c>
      <c r="GM19" s="15">
        <v>3</v>
      </c>
      <c r="GN19" s="15">
        <v>2</v>
      </c>
      <c r="GO19" s="15">
        <v>5</v>
      </c>
      <c r="GP19" s="15">
        <v>3</v>
      </c>
      <c r="GQ19" s="15">
        <v>2</v>
      </c>
      <c r="GR19" s="15">
        <v>1</v>
      </c>
      <c r="GS19" s="15">
        <v>1</v>
      </c>
      <c r="GT19" s="15">
        <v>2</v>
      </c>
      <c r="GU19" s="15">
        <v>3</v>
      </c>
      <c r="GV19" s="15">
        <v>2</v>
      </c>
      <c r="GW19" s="15">
        <v>4</v>
      </c>
      <c r="GX19" s="15">
        <v>5</v>
      </c>
      <c r="GY19" s="15">
        <v>2</v>
      </c>
      <c r="GZ19" s="15">
        <v>3</v>
      </c>
      <c r="HA19" s="15">
        <v>2</v>
      </c>
      <c r="HB19" s="15">
        <v>1</v>
      </c>
      <c r="HC19" s="15">
        <v>5</v>
      </c>
      <c r="HD19" s="15">
        <v>1</v>
      </c>
      <c r="HE19" s="15">
        <v>2</v>
      </c>
      <c r="HF19" s="15">
        <v>2</v>
      </c>
      <c r="HG19" s="15">
        <v>1</v>
      </c>
      <c r="HH19" s="15">
        <v>4</v>
      </c>
      <c r="HI19" s="15">
        <v>4</v>
      </c>
      <c r="HJ19" s="15">
        <v>3</v>
      </c>
      <c r="HK19" s="15">
        <v>1</v>
      </c>
      <c r="HL19" s="15">
        <v>1</v>
      </c>
      <c r="HM19" s="15">
        <v>4</v>
      </c>
      <c r="HN19" s="15">
        <v>3</v>
      </c>
      <c r="HO19" s="15">
        <v>1</v>
      </c>
      <c r="HP19" s="15">
        <v>2</v>
      </c>
      <c r="HQ19" s="15">
        <v>2</v>
      </c>
      <c r="HR19" s="15">
        <v>5</v>
      </c>
      <c r="HS19" s="15">
        <v>5</v>
      </c>
      <c r="HT19" s="15">
        <v>2</v>
      </c>
      <c r="HU19" s="15">
        <v>2</v>
      </c>
      <c r="HV19" s="15">
        <v>1</v>
      </c>
      <c r="HW19" s="15">
        <v>4.25</v>
      </c>
      <c r="HX19" s="15">
        <v>4.5</v>
      </c>
      <c r="HY19" s="15">
        <v>4.25</v>
      </c>
      <c r="HZ19" s="15">
        <v>4.5</v>
      </c>
      <c r="IA19" s="15">
        <v>3.75</v>
      </c>
      <c r="IB19" s="15">
        <v>5</v>
      </c>
      <c r="IC19" s="15">
        <v>1.75</v>
      </c>
      <c r="ID19" s="15">
        <v>1</v>
      </c>
      <c r="IE19" s="15">
        <v>1.25</v>
      </c>
      <c r="IF19" s="15">
        <v>2.5</v>
      </c>
      <c r="IG19" s="15">
        <v>2.5</v>
      </c>
      <c r="IH19" s="15">
        <v>1.25</v>
      </c>
      <c r="II19" s="15">
        <v>4</v>
      </c>
      <c r="IJ19" s="15">
        <v>3.25</v>
      </c>
      <c r="IK19" s="15">
        <v>4</v>
      </c>
      <c r="IL19" s="15">
        <v>3.75</v>
      </c>
      <c r="IM19" s="15">
        <v>3.5</v>
      </c>
      <c r="IN19" s="15">
        <v>4.75</v>
      </c>
      <c r="IO19" s="15">
        <v>2.75</v>
      </c>
      <c r="IP19" s="15">
        <v>3.75</v>
      </c>
      <c r="IQ19" s="15">
        <v>3.5</v>
      </c>
      <c r="IR19" s="15">
        <v>3.5</v>
      </c>
      <c r="IS19" s="15">
        <v>4.75</v>
      </c>
      <c r="IT19" s="15">
        <v>3.75</v>
      </c>
      <c r="IU19" s="15">
        <v>3.5</v>
      </c>
      <c r="IV19" s="15">
        <v>4.25</v>
      </c>
      <c r="IW19" s="15">
        <v>4</v>
      </c>
      <c r="IX19" s="15">
        <v>4.25</v>
      </c>
      <c r="IY19" s="15">
        <v>2.5</v>
      </c>
      <c r="IZ19" s="15">
        <v>3.75</v>
      </c>
    </row>
    <row r="20" spans="1:260" s="12" customFormat="1" x14ac:dyDescent="0.3">
      <c r="A20" s="15">
        <v>20</v>
      </c>
      <c r="B20" s="15" t="s">
        <v>469</v>
      </c>
      <c r="C20" s="16">
        <v>25</v>
      </c>
      <c r="D20" s="15" t="s">
        <v>258</v>
      </c>
      <c r="E20" s="15" t="s">
        <v>259</v>
      </c>
      <c r="F20" s="15" t="s">
        <v>260</v>
      </c>
      <c r="G20" s="15" t="s">
        <v>268</v>
      </c>
      <c r="H20" s="15" t="s">
        <v>298</v>
      </c>
      <c r="I20" s="15" t="s">
        <v>275</v>
      </c>
      <c r="J20" s="15" t="s">
        <v>323</v>
      </c>
      <c r="K20" s="15" t="s">
        <v>277</v>
      </c>
      <c r="L20" s="15" t="s">
        <v>273</v>
      </c>
      <c r="M20" s="15" t="s">
        <v>324</v>
      </c>
      <c r="N20" s="15"/>
      <c r="O20" s="15"/>
      <c r="P20" s="15"/>
      <c r="Q20" s="15"/>
      <c r="R20" s="15">
        <f>1/1</f>
        <v>1</v>
      </c>
      <c r="S20" s="15">
        <v>0</v>
      </c>
      <c r="T20" s="15">
        <v>5.9642430000000006</v>
      </c>
      <c r="U20" s="15">
        <v>0</v>
      </c>
      <c r="V20" s="15">
        <f>4</f>
        <v>4</v>
      </c>
      <c r="W20" s="15">
        <f>8/8</f>
        <v>1</v>
      </c>
      <c r="X20" s="15">
        <v>22.914467000000002</v>
      </c>
      <c r="Y20" s="15">
        <v>4.8649999999999638</v>
      </c>
      <c r="Z20" s="15"/>
      <c r="AA20" s="15"/>
      <c r="AB20" s="15"/>
      <c r="AC20" s="15"/>
      <c r="AD20" s="15">
        <v>0</v>
      </c>
      <c r="AE20" s="15">
        <f t="shared" si="4"/>
        <v>1</v>
      </c>
      <c r="AF20" s="15">
        <v>13.765906999999999</v>
      </c>
      <c r="AG20" s="15">
        <v>0</v>
      </c>
      <c r="AH20" s="15">
        <v>0</v>
      </c>
      <c r="AI20" s="15"/>
      <c r="AJ20" s="15"/>
      <c r="AK20" s="15">
        <v>1</v>
      </c>
      <c r="AL20" s="15">
        <f>3/8</f>
        <v>0.375</v>
      </c>
      <c r="AM20" s="15"/>
      <c r="AN20" s="15">
        <f>0.7</f>
        <v>0.7</v>
      </c>
      <c r="AO20" s="15">
        <v>0</v>
      </c>
      <c r="AP20" s="15">
        <f>3/3</f>
        <v>1</v>
      </c>
      <c r="AQ20" s="15">
        <v>10.775477</v>
      </c>
      <c r="AR20" s="15">
        <v>5.5E-2</v>
      </c>
      <c r="AS20" s="15">
        <v>0</v>
      </c>
      <c r="AT20" s="15"/>
      <c r="AU20" s="15"/>
      <c r="AV20" s="15">
        <v>0</v>
      </c>
      <c r="AW20" s="15">
        <f>4/4</f>
        <v>1</v>
      </c>
      <c r="AX20" s="15">
        <v>9.2005730000000003</v>
      </c>
      <c r="AY20" s="15">
        <f>0.4475</f>
        <v>0.44750000000000001</v>
      </c>
      <c r="AZ20" s="15">
        <v>0</v>
      </c>
      <c r="BA20" s="15">
        <f t="shared" si="3"/>
        <v>1</v>
      </c>
      <c r="BB20" s="15">
        <v>5.9276289999999996</v>
      </c>
      <c r="BC20" s="15">
        <v>0</v>
      </c>
      <c r="BD20" s="15">
        <v>1</v>
      </c>
      <c r="BE20" s="15">
        <v>1</v>
      </c>
      <c r="BF20" s="15">
        <v>0</v>
      </c>
      <c r="BG20" s="15">
        <v>1</v>
      </c>
      <c r="BH20" s="15">
        <f>0/5</f>
        <v>0</v>
      </c>
      <c r="BI20" s="15">
        <v>17.540658999999998</v>
      </c>
      <c r="BJ20" s="15">
        <f>0.3</f>
        <v>0.3</v>
      </c>
      <c r="BK20" s="15"/>
      <c r="BL20" s="15"/>
      <c r="BM20" s="15"/>
      <c r="BN20" s="15"/>
      <c r="BO20" s="15"/>
      <c r="BP20" s="15"/>
      <c r="BQ20" s="15"/>
      <c r="BR20" s="15"/>
      <c r="BS20" s="15">
        <v>0</v>
      </c>
      <c r="BT20" s="15">
        <f>2/2</f>
        <v>1</v>
      </c>
      <c r="BU20" s="15">
        <v>8.2549060000000001</v>
      </c>
      <c r="BV20" s="15">
        <v>0</v>
      </c>
      <c r="BW20" s="15">
        <v>0</v>
      </c>
      <c r="BX20" s="15"/>
      <c r="BY20" s="15"/>
      <c r="BZ20" s="15"/>
      <c r="CA20" s="15"/>
      <c r="CB20" s="15"/>
      <c r="CC20" s="15"/>
      <c r="CD20" s="15">
        <v>0</v>
      </c>
      <c r="CE20" s="15">
        <f>2/2</f>
        <v>1</v>
      </c>
      <c r="CF20" s="15">
        <v>19.615196999999998</v>
      </c>
      <c r="CG20" s="15">
        <v>0.16250000000000001</v>
      </c>
      <c r="CH20" s="15">
        <v>0</v>
      </c>
      <c r="CI20" s="15"/>
      <c r="CJ20" s="15"/>
      <c r="CK20" s="15">
        <f t="shared" si="0"/>
        <v>113.959058</v>
      </c>
      <c r="CL20" s="15">
        <f>4/8</f>
        <v>0.5</v>
      </c>
      <c r="CM20" s="15">
        <v>0</v>
      </c>
      <c r="CN20" s="15">
        <f t="shared" si="5"/>
        <v>0.2</v>
      </c>
      <c r="CO20" s="15">
        <f t="shared" si="5"/>
        <v>0.2</v>
      </c>
      <c r="CP20" s="15">
        <v>0</v>
      </c>
      <c r="CQ20" s="15">
        <v>1</v>
      </c>
      <c r="CR20" s="15">
        <v>1</v>
      </c>
      <c r="CS20" s="15">
        <v>1</v>
      </c>
      <c r="CT20" s="15">
        <v>2</v>
      </c>
      <c r="CU20" s="15">
        <v>350</v>
      </c>
      <c r="CV20" s="15">
        <v>1300</v>
      </c>
      <c r="CW20" s="15">
        <v>2</v>
      </c>
      <c r="CX20" s="15"/>
      <c r="CY20" s="15"/>
      <c r="CZ20" s="15"/>
      <c r="DA20" s="15"/>
      <c r="DB20" s="15"/>
      <c r="DC20" s="15"/>
      <c r="DD20" s="15">
        <v>0</v>
      </c>
      <c r="DE20" s="15">
        <v>0</v>
      </c>
      <c r="DF20" s="15">
        <v>4</v>
      </c>
      <c r="DG20" s="15">
        <v>4</v>
      </c>
      <c r="DH20" s="15">
        <v>4</v>
      </c>
      <c r="DI20" s="15">
        <v>3</v>
      </c>
      <c r="DJ20" s="15">
        <v>4</v>
      </c>
      <c r="DK20" s="15">
        <v>3</v>
      </c>
      <c r="DL20" s="15">
        <v>3</v>
      </c>
      <c r="DM20" s="15">
        <v>5</v>
      </c>
      <c r="DN20" s="15">
        <v>2</v>
      </c>
      <c r="DO20" s="15">
        <v>5</v>
      </c>
      <c r="DP20" s="15">
        <v>2</v>
      </c>
      <c r="DQ20" s="15">
        <v>3</v>
      </c>
      <c r="DR20" s="15">
        <v>2</v>
      </c>
      <c r="DS20" s="15">
        <v>4</v>
      </c>
      <c r="DT20" s="15">
        <v>4</v>
      </c>
      <c r="DU20" s="15">
        <v>4</v>
      </c>
      <c r="DV20" s="15">
        <v>4</v>
      </c>
      <c r="DW20" s="15">
        <v>5</v>
      </c>
      <c r="DX20" s="15">
        <v>1</v>
      </c>
      <c r="DY20" s="15">
        <v>4</v>
      </c>
      <c r="DZ20" s="15">
        <v>5</v>
      </c>
      <c r="EA20" s="15">
        <v>4</v>
      </c>
      <c r="EB20" s="15">
        <v>3</v>
      </c>
      <c r="EC20" s="15">
        <v>1</v>
      </c>
      <c r="ED20" s="15">
        <v>2</v>
      </c>
      <c r="EE20" s="15">
        <v>1</v>
      </c>
      <c r="EF20" s="15">
        <v>3</v>
      </c>
      <c r="EG20" s="15">
        <v>4</v>
      </c>
      <c r="EH20" s="15">
        <v>3</v>
      </c>
      <c r="EI20" s="15">
        <v>1</v>
      </c>
      <c r="EJ20" s="15">
        <v>4</v>
      </c>
      <c r="EK20" s="15">
        <v>4</v>
      </c>
      <c r="EL20" s="15">
        <v>2</v>
      </c>
      <c r="EM20" s="15">
        <v>3</v>
      </c>
      <c r="EN20" s="15">
        <v>3</v>
      </c>
      <c r="EO20" s="15">
        <v>2</v>
      </c>
      <c r="EP20" s="15">
        <v>2</v>
      </c>
      <c r="EQ20" s="15">
        <v>3</v>
      </c>
      <c r="ER20" s="15">
        <v>2</v>
      </c>
      <c r="ES20" s="15">
        <v>5</v>
      </c>
      <c r="ET20" s="15">
        <v>1</v>
      </c>
      <c r="EU20" s="15">
        <v>3</v>
      </c>
      <c r="EV20" s="15">
        <v>4</v>
      </c>
      <c r="EW20" s="15">
        <v>4</v>
      </c>
      <c r="EX20" s="15">
        <v>4</v>
      </c>
      <c r="EY20" s="15">
        <v>3</v>
      </c>
      <c r="EZ20" s="15">
        <v>3</v>
      </c>
      <c r="FA20" s="15">
        <v>2</v>
      </c>
      <c r="FB20" s="15">
        <v>1</v>
      </c>
      <c r="FC20" s="15">
        <v>3</v>
      </c>
      <c r="FD20" s="15">
        <v>2</v>
      </c>
      <c r="FE20" s="15">
        <v>4</v>
      </c>
      <c r="FF20" s="15">
        <v>1</v>
      </c>
      <c r="FG20" s="15">
        <v>3</v>
      </c>
      <c r="FH20" s="15">
        <v>4</v>
      </c>
      <c r="FI20" s="15">
        <v>2</v>
      </c>
      <c r="FJ20" s="15">
        <v>5</v>
      </c>
      <c r="FK20" s="15">
        <v>4</v>
      </c>
      <c r="FL20" s="15">
        <v>4</v>
      </c>
      <c r="FM20" s="15">
        <v>1</v>
      </c>
      <c r="FN20" s="15">
        <v>1</v>
      </c>
      <c r="FO20" s="15">
        <v>1</v>
      </c>
      <c r="FP20" s="15">
        <v>3</v>
      </c>
      <c r="FQ20" s="15">
        <v>3</v>
      </c>
      <c r="FR20" s="15">
        <v>4</v>
      </c>
      <c r="FS20" s="15">
        <v>4</v>
      </c>
      <c r="FT20" s="15">
        <v>2</v>
      </c>
      <c r="FU20" s="15">
        <v>2</v>
      </c>
      <c r="FV20" s="15">
        <v>4</v>
      </c>
      <c r="FW20" s="15">
        <v>2</v>
      </c>
      <c r="FX20" s="15">
        <v>3</v>
      </c>
      <c r="FY20" s="15">
        <v>2</v>
      </c>
      <c r="FZ20" s="15">
        <v>3</v>
      </c>
      <c r="GA20" s="15">
        <v>2</v>
      </c>
      <c r="GB20" s="15">
        <v>2</v>
      </c>
      <c r="GC20" s="15">
        <v>2</v>
      </c>
      <c r="GD20" s="15">
        <v>3</v>
      </c>
      <c r="GE20" s="15">
        <v>3</v>
      </c>
      <c r="GF20" s="15">
        <v>2</v>
      </c>
      <c r="GG20" s="15">
        <v>1</v>
      </c>
      <c r="GH20" s="15">
        <v>2</v>
      </c>
      <c r="GI20" s="15">
        <v>2</v>
      </c>
      <c r="GJ20" s="15">
        <v>3</v>
      </c>
      <c r="GK20" s="15">
        <v>2</v>
      </c>
      <c r="GL20" s="15">
        <v>2</v>
      </c>
      <c r="GM20" s="15">
        <v>4</v>
      </c>
      <c r="GN20" s="15">
        <v>3</v>
      </c>
      <c r="GO20" s="15">
        <v>5</v>
      </c>
      <c r="GP20" s="15">
        <v>1</v>
      </c>
      <c r="GQ20" s="15">
        <v>2</v>
      </c>
      <c r="GR20" s="15">
        <v>2</v>
      </c>
      <c r="GS20" s="15">
        <v>2</v>
      </c>
      <c r="GT20" s="15">
        <v>2</v>
      </c>
      <c r="GU20" s="15">
        <v>2</v>
      </c>
      <c r="GV20" s="15">
        <v>3</v>
      </c>
      <c r="GW20" s="15">
        <v>4</v>
      </c>
      <c r="GX20" s="15">
        <v>4</v>
      </c>
      <c r="GY20" s="15">
        <v>2</v>
      </c>
      <c r="GZ20" s="15">
        <v>1</v>
      </c>
      <c r="HA20" s="15">
        <v>2</v>
      </c>
      <c r="HB20" s="15">
        <v>4</v>
      </c>
      <c r="HC20" s="15">
        <v>4</v>
      </c>
      <c r="HD20" s="15">
        <v>3</v>
      </c>
      <c r="HE20" s="15">
        <v>2</v>
      </c>
      <c r="HF20" s="15">
        <v>2</v>
      </c>
      <c r="HG20" s="15">
        <v>2</v>
      </c>
      <c r="HH20" s="15">
        <v>2</v>
      </c>
      <c r="HI20" s="15">
        <v>4</v>
      </c>
      <c r="HJ20" s="15">
        <v>2</v>
      </c>
      <c r="HK20" s="15">
        <v>1</v>
      </c>
      <c r="HL20" s="15">
        <v>2</v>
      </c>
      <c r="HM20" s="15">
        <v>3</v>
      </c>
      <c r="HN20" s="15">
        <v>1</v>
      </c>
      <c r="HO20" s="15">
        <v>1</v>
      </c>
      <c r="HP20" s="15">
        <v>1</v>
      </c>
      <c r="HQ20" s="15">
        <v>3</v>
      </c>
      <c r="HR20" s="15">
        <v>2</v>
      </c>
      <c r="HS20" s="15">
        <v>3</v>
      </c>
      <c r="HT20" s="15">
        <v>5</v>
      </c>
      <c r="HU20" s="15">
        <v>2</v>
      </c>
      <c r="HV20" s="15">
        <v>1</v>
      </c>
      <c r="HW20" s="15">
        <v>3.75</v>
      </c>
      <c r="HX20" s="15">
        <v>2.75</v>
      </c>
      <c r="HY20" s="15">
        <v>4</v>
      </c>
      <c r="HZ20" s="15">
        <v>3.75</v>
      </c>
      <c r="IA20" s="15">
        <v>2.75</v>
      </c>
      <c r="IB20" s="15">
        <v>4.75</v>
      </c>
      <c r="IC20" s="15">
        <v>2.75</v>
      </c>
      <c r="ID20" s="15">
        <v>2.75</v>
      </c>
      <c r="IE20" s="15">
        <v>1.75</v>
      </c>
      <c r="IF20" s="15">
        <v>3.5</v>
      </c>
      <c r="IG20" s="15">
        <v>4</v>
      </c>
      <c r="IH20" s="15">
        <v>2.5</v>
      </c>
      <c r="II20" s="15">
        <v>4.25</v>
      </c>
      <c r="IJ20" s="15">
        <v>3.25</v>
      </c>
      <c r="IK20" s="15">
        <v>3</v>
      </c>
      <c r="IL20" s="15">
        <v>3</v>
      </c>
      <c r="IM20" s="15">
        <v>3</v>
      </c>
      <c r="IN20" s="15">
        <v>4</v>
      </c>
      <c r="IO20" s="15">
        <v>2.75</v>
      </c>
      <c r="IP20" s="15">
        <v>4.25</v>
      </c>
      <c r="IQ20" s="15">
        <v>3.5</v>
      </c>
      <c r="IR20" s="15">
        <v>4.25</v>
      </c>
      <c r="IS20" s="15">
        <v>4.25</v>
      </c>
      <c r="IT20" s="15">
        <v>3.5</v>
      </c>
      <c r="IU20" s="15">
        <v>3</v>
      </c>
      <c r="IV20" s="15">
        <v>4</v>
      </c>
      <c r="IW20" s="15">
        <v>4</v>
      </c>
      <c r="IX20" s="15">
        <v>5</v>
      </c>
      <c r="IY20" s="15">
        <v>4.25</v>
      </c>
      <c r="IZ20" s="15">
        <v>3.75</v>
      </c>
    </row>
    <row r="21" spans="1:260" s="12" customFormat="1" x14ac:dyDescent="0.3">
      <c r="A21" s="15">
        <v>22</v>
      </c>
      <c r="B21" s="15" t="s">
        <v>469</v>
      </c>
      <c r="C21" s="16">
        <v>29</v>
      </c>
      <c r="D21" s="15" t="s">
        <v>258</v>
      </c>
      <c r="E21" s="15" t="s">
        <v>259</v>
      </c>
      <c r="F21" s="15" t="s">
        <v>260</v>
      </c>
      <c r="G21" s="15" t="s">
        <v>268</v>
      </c>
      <c r="H21" s="15" t="s">
        <v>269</v>
      </c>
      <c r="I21" s="15" t="s">
        <v>275</v>
      </c>
      <c r="J21" s="15" t="s">
        <v>325</v>
      </c>
      <c r="K21" s="15" t="s">
        <v>285</v>
      </c>
      <c r="L21" s="15" t="s">
        <v>286</v>
      </c>
      <c r="M21" s="15" t="s">
        <v>326</v>
      </c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>
        <v>0</v>
      </c>
      <c r="AE21" s="15">
        <f t="shared" si="4"/>
        <v>1</v>
      </c>
      <c r="AF21" s="15">
        <v>3.95479</v>
      </c>
      <c r="AG21" s="15">
        <v>0</v>
      </c>
      <c r="AH21" s="15">
        <v>0</v>
      </c>
      <c r="AI21" s="15"/>
      <c r="AJ21" s="15"/>
      <c r="AK21" s="15"/>
      <c r="AL21" s="15"/>
      <c r="AM21" s="15"/>
      <c r="AN21" s="15"/>
      <c r="AO21" s="15">
        <v>0</v>
      </c>
      <c r="AP21" s="15">
        <f>3/3</f>
        <v>1</v>
      </c>
      <c r="AQ21" s="15">
        <v>7.4174819999999997</v>
      </c>
      <c r="AR21" s="15">
        <v>0</v>
      </c>
      <c r="AS21" s="15">
        <v>0</v>
      </c>
      <c r="AT21" s="15"/>
      <c r="AU21" s="15"/>
      <c r="AV21" s="15">
        <v>0</v>
      </c>
      <c r="AW21" s="15">
        <f>4/4</f>
        <v>1</v>
      </c>
      <c r="AX21" s="15">
        <v>11.083895</v>
      </c>
      <c r="AY21" s="15">
        <v>1.699999999999986</v>
      </c>
      <c r="AZ21" s="15"/>
      <c r="BA21" s="15"/>
      <c r="BB21" s="15"/>
      <c r="BC21" s="15"/>
      <c r="BD21" s="15">
        <v>1</v>
      </c>
      <c r="BE21" s="15">
        <v>0</v>
      </c>
      <c r="BF21" s="15">
        <f>5/5</f>
        <v>1</v>
      </c>
      <c r="BG21" s="15"/>
      <c r="BH21" s="15"/>
      <c r="BI21" s="15"/>
      <c r="BJ21" s="15"/>
      <c r="BK21" s="15">
        <v>0</v>
      </c>
      <c r="BL21" s="15">
        <f>2/2</f>
        <v>1</v>
      </c>
      <c r="BM21" s="15">
        <v>16.955735000000001</v>
      </c>
      <c r="BN21" s="15">
        <v>0.125</v>
      </c>
      <c r="BO21" s="15"/>
      <c r="BP21" s="15"/>
      <c r="BQ21" s="15"/>
      <c r="BR21" s="15"/>
      <c r="BS21" s="15">
        <v>0</v>
      </c>
      <c r="BT21" s="15">
        <f>2/2</f>
        <v>1</v>
      </c>
      <c r="BU21" s="15">
        <v>7.7522879999999992</v>
      </c>
      <c r="BV21" s="15">
        <v>0</v>
      </c>
      <c r="BW21" s="15">
        <v>0</v>
      </c>
      <c r="BX21" s="15"/>
      <c r="BY21" s="15"/>
      <c r="BZ21" s="15">
        <v>0</v>
      </c>
      <c r="CA21" s="15">
        <f>3/5</f>
        <v>0.6</v>
      </c>
      <c r="CB21" s="15">
        <v>17.987034000000001</v>
      </c>
      <c r="CC21" s="15">
        <v>0</v>
      </c>
      <c r="CD21" s="15"/>
      <c r="CE21" s="15"/>
      <c r="CF21" s="15"/>
      <c r="CG21" s="15"/>
      <c r="CH21" s="15">
        <v>0</v>
      </c>
      <c r="CI21" s="15"/>
      <c r="CJ21" s="15"/>
      <c r="CK21" s="15">
        <f t="shared" si="0"/>
        <v>65.151223999999999</v>
      </c>
      <c r="CL21" s="15">
        <f>2/8</f>
        <v>0.25</v>
      </c>
      <c r="CM21" s="15">
        <v>0</v>
      </c>
      <c r="CN21" s="15">
        <f t="shared" si="5"/>
        <v>0.2</v>
      </c>
      <c r="CO21" s="15">
        <f t="shared" si="5"/>
        <v>0.2</v>
      </c>
      <c r="CP21" s="15">
        <v>0</v>
      </c>
      <c r="CQ21" s="15">
        <v>0</v>
      </c>
      <c r="CR21" s="15">
        <v>1</v>
      </c>
      <c r="CS21" s="15">
        <v>1</v>
      </c>
      <c r="CT21" s="15">
        <v>3</v>
      </c>
      <c r="CU21" s="15">
        <v>350</v>
      </c>
      <c r="CV21" s="15">
        <v>1400</v>
      </c>
      <c r="CW21" s="15">
        <v>3</v>
      </c>
      <c r="CX21" s="15"/>
      <c r="CY21" s="15"/>
      <c r="CZ21" s="15"/>
      <c r="DA21" s="15"/>
      <c r="DB21" s="15"/>
      <c r="DC21" s="15"/>
      <c r="DD21" s="15">
        <v>0</v>
      </c>
      <c r="DE21" s="15">
        <v>0</v>
      </c>
      <c r="DF21" s="15">
        <v>5</v>
      </c>
      <c r="DG21" s="15">
        <v>3</v>
      </c>
      <c r="DH21" s="15">
        <v>4</v>
      </c>
      <c r="DI21" s="15">
        <v>2</v>
      </c>
      <c r="DJ21" s="15">
        <v>4</v>
      </c>
      <c r="DK21" s="15">
        <v>1</v>
      </c>
      <c r="DL21" s="15">
        <v>5</v>
      </c>
      <c r="DM21" s="15">
        <v>4</v>
      </c>
      <c r="DN21" s="15">
        <v>2</v>
      </c>
      <c r="DO21" s="15">
        <v>5</v>
      </c>
      <c r="DP21" s="15">
        <v>1</v>
      </c>
      <c r="DQ21" s="15">
        <v>4</v>
      </c>
      <c r="DR21" s="15">
        <v>3</v>
      </c>
      <c r="DS21" s="15">
        <v>3</v>
      </c>
      <c r="DT21" s="15">
        <v>4</v>
      </c>
      <c r="DU21" s="15">
        <v>2</v>
      </c>
      <c r="DV21" s="15">
        <v>5</v>
      </c>
      <c r="DW21" s="15">
        <v>4</v>
      </c>
      <c r="DX21" s="15">
        <v>1</v>
      </c>
      <c r="DY21" s="15">
        <v>5</v>
      </c>
      <c r="DZ21" s="15">
        <v>4</v>
      </c>
      <c r="EA21" s="15">
        <v>5</v>
      </c>
      <c r="EB21" s="15">
        <v>3</v>
      </c>
      <c r="EC21" s="15">
        <v>1</v>
      </c>
      <c r="ED21" s="15">
        <v>2</v>
      </c>
      <c r="EE21" s="15">
        <v>1</v>
      </c>
      <c r="EF21" s="15">
        <v>3</v>
      </c>
      <c r="EG21" s="15">
        <v>3</v>
      </c>
      <c r="EH21" s="15">
        <v>2</v>
      </c>
      <c r="EI21" s="15">
        <v>3</v>
      </c>
      <c r="EJ21" s="15">
        <v>5</v>
      </c>
      <c r="EK21" s="15">
        <v>5</v>
      </c>
      <c r="EL21" s="15">
        <v>4</v>
      </c>
      <c r="EM21" s="15">
        <v>2</v>
      </c>
      <c r="EN21" s="15">
        <v>2</v>
      </c>
      <c r="EO21" s="15">
        <v>2</v>
      </c>
      <c r="EP21" s="15">
        <v>5</v>
      </c>
      <c r="EQ21" s="15">
        <v>4</v>
      </c>
      <c r="ER21" s="15">
        <v>1</v>
      </c>
      <c r="ES21" s="15">
        <v>5</v>
      </c>
      <c r="ET21" s="15">
        <v>1</v>
      </c>
      <c r="EU21" s="15">
        <v>3</v>
      </c>
      <c r="EV21" s="15">
        <v>3</v>
      </c>
      <c r="EW21" s="15">
        <v>4</v>
      </c>
      <c r="EX21" s="15">
        <v>5</v>
      </c>
      <c r="EY21" s="15">
        <v>3</v>
      </c>
      <c r="EZ21" s="15">
        <v>5</v>
      </c>
      <c r="FA21" s="15">
        <v>1</v>
      </c>
      <c r="FB21" s="15">
        <v>1</v>
      </c>
      <c r="FC21" s="15">
        <v>3</v>
      </c>
      <c r="FD21" s="15">
        <v>5</v>
      </c>
      <c r="FE21" s="15">
        <v>4</v>
      </c>
      <c r="FF21" s="15">
        <v>3</v>
      </c>
      <c r="FG21" s="15">
        <v>1</v>
      </c>
      <c r="FH21" s="15">
        <v>2</v>
      </c>
      <c r="FI21" s="15">
        <v>3</v>
      </c>
      <c r="FJ21" s="15">
        <v>5</v>
      </c>
      <c r="FK21" s="15">
        <v>1</v>
      </c>
      <c r="FL21" s="15">
        <v>1</v>
      </c>
      <c r="FM21" s="15">
        <v>4</v>
      </c>
      <c r="FN21" s="15">
        <v>5</v>
      </c>
      <c r="FO21" s="15">
        <v>3</v>
      </c>
      <c r="FP21" s="15">
        <v>3</v>
      </c>
      <c r="FQ21" s="15">
        <v>1</v>
      </c>
      <c r="FR21" s="15">
        <v>4</v>
      </c>
      <c r="FS21" s="15">
        <v>4</v>
      </c>
      <c r="FT21" s="15">
        <v>2</v>
      </c>
      <c r="FU21" s="15">
        <v>2</v>
      </c>
      <c r="FV21" s="15">
        <v>4</v>
      </c>
      <c r="FW21" s="15">
        <v>1</v>
      </c>
      <c r="FX21" s="15">
        <v>2</v>
      </c>
      <c r="FY21" s="15">
        <v>1</v>
      </c>
      <c r="FZ21" s="15">
        <v>3</v>
      </c>
      <c r="GA21" s="15">
        <v>1</v>
      </c>
      <c r="GB21" s="15">
        <v>3</v>
      </c>
      <c r="GC21" s="15">
        <v>2</v>
      </c>
      <c r="GD21" s="15">
        <v>2</v>
      </c>
      <c r="GE21" s="15">
        <v>5</v>
      </c>
      <c r="GF21" s="15">
        <v>1</v>
      </c>
      <c r="GG21" s="15">
        <v>1</v>
      </c>
      <c r="GH21" s="15">
        <v>5</v>
      </c>
      <c r="GI21" s="15">
        <v>4</v>
      </c>
      <c r="GJ21" s="15">
        <v>3</v>
      </c>
      <c r="GK21" s="15">
        <v>2</v>
      </c>
      <c r="GL21" s="15">
        <v>1</v>
      </c>
      <c r="GM21" s="15">
        <v>4</v>
      </c>
      <c r="GN21" s="15">
        <v>1</v>
      </c>
      <c r="GO21" s="15">
        <v>4</v>
      </c>
      <c r="GP21" s="15">
        <v>3</v>
      </c>
      <c r="GQ21" s="15">
        <v>5</v>
      </c>
      <c r="GR21" s="15">
        <v>1</v>
      </c>
      <c r="GS21" s="15">
        <v>5</v>
      </c>
      <c r="GT21" s="15">
        <v>2</v>
      </c>
      <c r="GU21" s="15">
        <v>4</v>
      </c>
      <c r="GV21" s="15">
        <v>4</v>
      </c>
      <c r="GW21" s="15">
        <v>4</v>
      </c>
      <c r="GX21" s="15">
        <v>5</v>
      </c>
      <c r="GY21" s="15">
        <v>2</v>
      </c>
      <c r="GZ21" s="15">
        <v>1</v>
      </c>
      <c r="HA21" s="15">
        <v>2</v>
      </c>
      <c r="HB21" s="15">
        <v>1</v>
      </c>
      <c r="HC21" s="15">
        <v>5</v>
      </c>
      <c r="HD21" s="15">
        <v>4</v>
      </c>
      <c r="HE21" s="15">
        <v>5</v>
      </c>
      <c r="HF21" s="15">
        <v>2</v>
      </c>
      <c r="HG21" s="15">
        <v>1</v>
      </c>
      <c r="HH21" s="15">
        <v>5</v>
      </c>
      <c r="HI21" s="15">
        <v>5</v>
      </c>
      <c r="HJ21" s="15">
        <v>2</v>
      </c>
      <c r="HK21" s="15">
        <v>1</v>
      </c>
      <c r="HL21" s="15">
        <v>1</v>
      </c>
      <c r="HM21" s="15">
        <v>5</v>
      </c>
      <c r="HN21" s="15">
        <v>2</v>
      </c>
      <c r="HO21" s="15">
        <v>1</v>
      </c>
      <c r="HP21" s="15">
        <v>1</v>
      </c>
      <c r="HQ21" s="15">
        <v>1</v>
      </c>
      <c r="HR21" s="15">
        <v>4</v>
      </c>
      <c r="HS21" s="15">
        <v>4</v>
      </c>
      <c r="HT21" s="15">
        <v>3</v>
      </c>
      <c r="HU21" s="15">
        <v>3</v>
      </c>
      <c r="HV21" s="15">
        <v>1</v>
      </c>
      <c r="HW21" s="15">
        <v>3.5</v>
      </c>
      <c r="HX21" s="15">
        <v>3.75</v>
      </c>
      <c r="HY21" s="15">
        <v>4.5</v>
      </c>
      <c r="HZ21" s="15">
        <v>3.5</v>
      </c>
      <c r="IA21" s="15">
        <v>2.75</v>
      </c>
      <c r="IB21" s="15">
        <v>3.75</v>
      </c>
      <c r="IC21" s="15">
        <v>5</v>
      </c>
      <c r="ID21" s="15">
        <v>2</v>
      </c>
      <c r="IE21" s="15">
        <v>1</v>
      </c>
      <c r="IF21" s="15">
        <v>2</v>
      </c>
      <c r="IG21" s="15">
        <v>2</v>
      </c>
      <c r="IH21" s="15">
        <v>1.75</v>
      </c>
      <c r="II21" s="15">
        <v>3.75</v>
      </c>
      <c r="IJ21" s="15">
        <v>4.5</v>
      </c>
      <c r="IK21" s="15">
        <v>3</v>
      </c>
      <c r="IL21" s="15">
        <v>4</v>
      </c>
      <c r="IM21" s="15">
        <v>3.5</v>
      </c>
      <c r="IN21" s="15">
        <v>4</v>
      </c>
      <c r="IO21" s="15">
        <v>3.75</v>
      </c>
      <c r="IP21" s="15">
        <v>4.25</v>
      </c>
      <c r="IQ21" s="15">
        <v>3</v>
      </c>
      <c r="IR21" s="15">
        <v>4.5</v>
      </c>
      <c r="IS21" s="15">
        <v>3.75</v>
      </c>
      <c r="IT21" s="15">
        <v>2.5</v>
      </c>
      <c r="IU21" s="15">
        <v>1.75</v>
      </c>
      <c r="IV21" s="15">
        <v>4.5</v>
      </c>
      <c r="IW21" s="15">
        <v>3.5</v>
      </c>
      <c r="IX21" s="15">
        <v>5</v>
      </c>
      <c r="IY21" s="15">
        <v>5</v>
      </c>
      <c r="IZ21" s="15">
        <v>1.75</v>
      </c>
    </row>
    <row r="22" spans="1:260" s="12" customFormat="1" x14ac:dyDescent="0.3">
      <c r="A22" s="15">
        <v>23</v>
      </c>
      <c r="B22" s="15" t="s">
        <v>469</v>
      </c>
      <c r="C22" s="16">
        <v>46</v>
      </c>
      <c r="D22" s="15" t="s">
        <v>258</v>
      </c>
      <c r="E22" s="15" t="s">
        <v>289</v>
      </c>
      <c r="F22" s="15" t="s">
        <v>290</v>
      </c>
      <c r="G22" s="15" t="s">
        <v>261</v>
      </c>
      <c r="H22" s="15" t="s">
        <v>269</v>
      </c>
      <c r="I22" s="15" t="s">
        <v>263</v>
      </c>
      <c r="J22" s="15" t="s">
        <v>327</v>
      </c>
      <c r="K22" s="15" t="s">
        <v>328</v>
      </c>
      <c r="L22" s="15" t="s">
        <v>295</v>
      </c>
      <c r="M22" s="15" t="s">
        <v>296</v>
      </c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>
        <v>0</v>
      </c>
      <c r="AE22" s="15">
        <f t="shared" si="4"/>
        <v>1</v>
      </c>
      <c r="AF22" s="15">
        <v>4.3910990000000005</v>
      </c>
      <c r="AG22" s="15">
        <v>0</v>
      </c>
      <c r="AH22" s="15">
        <v>1</v>
      </c>
      <c r="AI22" s="15">
        <v>1</v>
      </c>
      <c r="AJ22" s="15">
        <f>5/5</f>
        <v>1</v>
      </c>
      <c r="AK22" s="15">
        <v>4</v>
      </c>
      <c r="AL22" s="15">
        <f>2/8</f>
        <v>0.25</v>
      </c>
      <c r="AM22" s="15"/>
      <c r="AN22" s="15">
        <f>1.1*4</f>
        <v>4.4000000000000004</v>
      </c>
      <c r="AO22" s="15">
        <v>0</v>
      </c>
      <c r="AP22" s="15">
        <f>3/3</f>
        <v>1</v>
      </c>
      <c r="AQ22" s="15">
        <v>14.358485</v>
      </c>
      <c r="AR22" s="15">
        <v>0</v>
      </c>
      <c r="AS22" s="15">
        <v>0</v>
      </c>
      <c r="AT22" s="15"/>
      <c r="AU22" s="15"/>
      <c r="AV22" s="15"/>
      <c r="AW22" s="15"/>
      <c r="AX22" s="15"/>
      <c r="AY22" s="15"/>
      <c r="AZ22" s="15">
        <v>0</v>
      </c>
      <c r="BA22" s="15">
        <f t="shared" ref="BA22:BA33" si="6">2/2</f>
        <v>1</v>
      </c>
      <c r="BB22" s="15">
        <v>6.8556379999999999</v>
      </c>
      <c r="BC22" s="15">
        <v>0</v>
      </c>
      <c r="BD22" s="15">
        <v>0</v>
      </c>
      <c r="BE22" s="15"/>
      <c r="BF22" s="15"/>
      <c r="BG22" s="15"/>
      <c r="BH22" s="15"/>
      <c r="BI22" s="15"/>
      <c r="BJ22" s="15"/>
      <c r="BK22" s="15">
        <v>0</v>
      </c>
      <c r="BL22" s="15">
        <f>2/2</f>
        <v>1</v>
      </c>
      <c r="BM22" s="15">
        <v>9.420598</v>
      </c>
      <c r="BN22" s="15">
        <v>0</v>
      </c>
      <c r="BO22" s="15"/>
      <c r="BP22" s="15"/>
      <c r="BQ22" s="15"/>
      <c r="BR22" s="15"/>
      <c r="BS22" s="15">
        <v>0</v>
      </c>
      <c r="BT22" s="15">
        <f>1/2</f>
        <v>0.5</v>
      </c>
      <c r="BU22" s="15">
        <v>16.34047</v>
      </c>
      <c r="BV22" s="15">
        <v>0</v>
      </c>
      <c r="BW22" s="15">
        <v>0</v>
      </c>
      <c r="BX22" s="15"/>
      <c r="BY22" s="15"/>
      <c r="BZ22" s="15"/>
      <c r="CA22" s="15"/>
      <c r="CB22" s="15"/>
      <c r="CC22" s="15"/>
      <c r="CD22" s="15">
        <v>0</v>
      </c>
      <c r="CE22" s="15">
        <f>1/2</f>
        <v>0.5</v>
      </c>
      <c r="CF22" s="15">
        <v>12.921662</v>
      </c>
      <c r="CG22" s="15">
        <v>3.2500000000000001E-2</v>
      </c>
      <c r="CH22" s="15">
        <v>0</v>
      </c>
      <c r="CI22" s="15"/>
      <c r="CJ22" s="15"/>
      <c r="CK22" s="15">
        <f t="shared" si="0"/>
        <v>64.28795199999999</v>
      </c>
      <c r="CL22" s="15">
        <f>1/8</f>
        <v>0.125</v>
      </c>
      <c r="CM22" s="15">
        <v>1</v>
      </c>
      <c r="CN22" s="15">
        <f t="shared" si="5"/>
        <v>0.2</v>
      </c>
      <c r="CO22" s="15">
        <f t="shared" si="5"/>
        <v>0.2</v>
      </c>
      <c r="CP22" s="15">
        <v>0</v>
      </c>
      <c r="CQ22" s="15">
        <v>0</v>
      </c>
      <c r="CR22" s="15">
        <v>0.10416666666666667</v>
      </c>
      <c r="CS22" s="15">
        <v>0.29090909090909089</v>
      </c>
      <c r="CT22" s="15">
        <v>0</v>
      </c>
      <c r="CU22" s="15">
        <v>167</v>
      </c>
      <c r="CV22" s="15">
        <v>320</v>
      </c>
      <c r="CW22" s="15">
        <v>0</v>
      </c>
      <c r="CX22" s="15"/>
      <c r="CY22" s="15"/>
      <c r="CZ22" s="15"/>
      <c r="DA22" s="15"/>
      <c r="DB22" s="15"/>
      <c r="DC22" s="15"/>
      <c r="DD22" s="15">
        <v>0</v>
      </c>
      <c r="DE22" s="15">
        <v>0</v>
      </c>
      <c r="DF22" s="15">
        <v>5</v>
      </c>
      <c r="DG22" s="15">
        <v>4</v>
      </c>
      <c r="DH22" s="15">
        <v>4</v>
      </c>
      <c r="DI22" s="15">
        <v>3</v>
      </c>
      <c r="DJ22" s="15">
        <v>4</v>
      </c>
      <c r="DK22" s="15">
        <v>4</v>
      </c>
      <c r="DL22" s="15">
        <v>3</v>
      </c>
      <c r="DM22" s="15">
        <v>4</v>
      </c>
      <c r="DN22" s="15">
        <v>2</v>
      </c>
      <c r="DO22" s="15">
        <v>5</v>
      </c>
      <c r="DP22" s="15">
        <v>5</v>
      </c>
      <c r="DQ22" s="15">
        <v>4</v>
      </c>
      <c r="DR22" s="15">
        <v>5</v>
      </c>
      <c r="DS22" s="15">
        <v>5</v>
      </c>
      <c r="DT22" s="15">
        <v>4</v>
      </c>
      <c r="DU22" s="15">
        <v>2</v>
      </c>
      <c r="DV22" s="15">
        <v>3</v>
      </c>
      <c r="DW22" s="15">
        <v>2</v>
      </c>
      <c r="DX22" s="15">
        <v>2</v>
      </c>
      <c r="DY22" s="15">
        <v>4</v>
      </c>
      <c r="DZ22" s="15">
        <v>4</v>
      </c>
      <c r="EA22" s="15">
        <v>4</v>
      </c>
      <c r="EB22" s="15">
        <v>4</v>
      </c>
      <c r="EC22" s="15">
        <v>2</v>
      </c>
      <c r="ED22" s="15">
        <v>2</v>
      </c>
      <c r="EE22" s="15">
        <v>4</v>
      </c>
      <c r="EF22" s="15">
        <v>3</v>
      </c>
      <c r="EG22" s="15">
        <v>3</v>
      </c>
      <c r="EH22" s="15">
        <v>4</v>
      </c>
      <c r="EI22" s="15">
        <v>4</v>
      </c>
      <c r="EJ22" s="15">
        <v>4</v>
      </c>
      <c r="EK22" s="15">
        <v>4</v>
      </c>
      <c r="EL22" s="15">
        <v>5</v>
      </c>
      <c r="EM22" s="15">
        <v>3</v>
      </c>
      <c r="EN22" s="15">
        <v>2</v>
      </c>
      <c r="EO22" s="15">
        <v>5</v>
      </c>
      <c r="EP22" s="15">
        <v>4</v>
      </c>
      <c r="EQ22" s="15">
        <v>3</v>
      </c>
      <c r="ER22" s="15">
        <v>2</v>
      </c>
      <c r="ES22" s="15">
        <v>2</v>
      </c>
      <c r="ET22" s="15">
        <v>4</v>
      </c>
      <c r="EU22" s="15">
        <v>2</v>
      </c>
      <c r="EV22" s="15">
        <v>4</v>
      </c>
      <c r="EW22" s="15">
        <v>4</v>
      </c>
      <c r="EX22" s="15">
        <v>4</v>
      </c>
      <c r="EY22" s="15">
        <v>3</v>
      </c>
      <c r="EZ22" s="15">
        <v>4</v>
      </c>
      <c r="FA22" s="15">
        <v>4</v>
      </c>
      <c r="FB22" s="15">
        <v>4</v>
      </c>
      <c r="FC22" s="15">
        <v>2</v>
      </c>
      <c r="FD22" s="15">
        <v>2</v>
      </c>
      <c r="FE22" s="15">
        <v>3</v>
      </c>
      <c r="FF22" s="15">
        <v>4</v>
      </c>
      <c r="FG22" s="15">
        <v>2</v>
      </c>
      <c r="FH22" s="15">
        <v>3</v>
      </c>
      <c r="FI22" s="15">
        <v>2</v>
      </c>
      <c r="FJ22" s="15">
        <v>3</v>
      </c>
      <c r="FK22" s="15">
        <v>4</v>
      </c>
      <c r="FL22" s="15">
        <v>4</v>
      </c>
      <c r="FM22" s="15">
        <v>4</v>
      </c>
      <c r="FN22" s="15">
        <v>4</v>
      </c>
      <c r="FO22" s="15">
        <v>2</v>
      </c>
      <c r="FP22" s="15">
        <v>4</v>
      </c>
      <c r="FQ22" s="15">
        <v>3</v>
      </c>
      <c r="FR22" s="15">
        <v>4</v>
      </c>
      <c r="FS22" s="15">
        <v>4</v>
      </c>
      <c r="FT22" s="15">
        <v>4</v>
      </c>
      <c r="FU22" s="15">
        <v>3</v>
      </c>
      <c r="FV22" s="15">
        <v>2</v>
      </c>
      <c r="FW22" s="15">
        <v>2</v>
      </c>
      <c r="FX22" s="15">
        <v>2</v>
      </c>
      <c r="FY22" s="15">
        <v>5</v>
      </c>
      <c r="FZ22" s="15">
        <v>3</v>
      </c>
      <c r="GA22" s="15">
        <v>2</v>
      </c>
      <c r="GB22" s="15">
        <v>2</v>
      </c>
      <c r="GC22" s="15">
        <v>2</v>
      </c>
      <c r="GD22" s="15">
        <v>3</v>
      </c>
      <c r="GE22" s="15">
        <v>3</v>
      </c>
      <c r="GF22" s="15">
        <v>4</v>
      </c>
      <c r="GG22" s="15">
        <v>2</v>
      </c>
      <c r="GH22" s="15">
        <v>4</v>
      </c>
      <c r="GI22" s="15">
        <v>4</v>
      </c>
      <c r="GJ22" s="15">
        <v>2</v>
      </c>
      <c r="GK22" s="15">
        <v>2</v>
      </c>
      <c r="GL22" s="15">
        <v>2</v>
      </c>
      <c r="GM22" s="15">
        <v>4</v>
      </c>
      <c r="GN22" s="15">
        <v>4</v>
      </c>
      <c r="GO22" s="15">
        <v>3</v>
      </c>
      <c r="GP22" s="15">
        <v>3</v>
      </c>
      <c r="GQ22" s="15">
        <v>2</v>
      </c>
      <c r="GR22" s="15">
        <v>3</v>
      </c>
      <c r="GS22" s="15">
        <v>4</v>
      </c>
      <c r="GT22" s="15">
        <v>2</v>
      </c>
      <c r="GU22" s="15">
        <v>5</v>
      </c>
      <c r="GV22" s="15">
        <v>3</v>
      </c>
      <c r="GW22" s="15">
        <v>2</v>
      </c>
      <c r="GX22" s="15">
        <v>2</v>
      </c>
      <c r="GY22" s="15">
        <v>4</v>
      </c>
      <c r="GZ22" s="15">
        <v>2</v>
      </c>
      <c r="HA22" s="15">
        <v>2</v>
      </c>
      <c r="HB22" s="15">
        <v>2</v>
      </c>
      <c r="HC22" s="15">
        <v>2</v>
      </c>
      <c r="HD22" s="15">
        <v>4</v>
      </c>
      <c r="HE22" s="15">
        <v>2</v>
      </c>
      <c r="HF22" s="15">
        <v>2</v>
      </c>
      <c r="HG22" s="15">
        <v>3</v>
      </c>
      <c r="HH22" s="15">
        <v>2</v>
      </c>
      <c r="HI22" s="15">
        <v>4</v>
      </c>
      <c r="HJ22" s="15">
        <v>3</v>
      </c>
      <c r="HK22" s="15">
        <v>2</v>
      </c>
      <c r="HL22" s="15">
        <v>4</v>
      </c>
      <c r="HM22" s="15">
        <v>4</v>
      </c>
      <c r="HN22" s="15">
        <v>2</v>
      </c>
      <c r="HO22" s="15">
        <v>3</v>
      </c>
      <c r="HP22" s="15">
        <v>2</v>
      </c>
      <c r="HQ22" s="15">
        <v>3</v>
      </c>
      <c r="HR22" s="15">
        <v>2</v>
      </c>
      <c r="HS22" s="15">
        <v>2</v>
      </c>
      <c r="HT22" s="15">
        <v>3</v>
      </c>
      <c r="HU22" s="15">
        <v>2</v>
      </c>
      <c r="HV22" s="15">
        <v>4</v>
      </c>
      <c r="HW22" s="15">
        <v>3</v>
      </c>
      <c r="HX22" s="15">
        <v>4.25</v>
      </c>
      <c r="HY22" s="15">
        <v>3.75</v>
      </c>
      <c r="HZ22" s="15">
        <v>2.5</v>
      </c>
      <c r="IA22" s="15">
        <v>2.5</v>
      </c>
      <c r="IB22" s="15">
        <v>2.25</v>
      </c>
      <c r="IC22" s="15">
        <v>4.25</v>
      </c>
      <c r="ID22" s="15">
        <v>4.25</v>
      </c>
      <c r="IE22" s="15">
        <v>4.5</v>
      </c>
      <c r="IF22" s="15">
        <v>3</v>
      </c>
      <c r="IG22" s="15">
        <v>3</v>
      </c>
      <c r="IH22" s="15">
        <v>3.5</v>
      </c>
      <c r="II22" s="15">
        <v>4</v>
      </c>
      <c r="IJ22" s="15">
        <v>2.75</v>
      </c>
      <c r="IK22" s="15">
        <v>2.75</v>
      </c>
      <c r="IL22" s="15">
        <v>3</v>
      </c>
      <c r="IM22" s="15">
        <v>2.75</v>
      </c>
      <c r="IN22" s="15">
        <v>2.75</v>
      </c>
      <c r="IO22" s="15">
        <v>4.5</v>
      </c>
      <c r="IP22" s="15">
        <v>3.5</v>
      </c>
      <c r="IQ22" s="15">
        <v>4.25</v>
      </c>
      <c r="IR22" s="15">
        <v>2.25</v>
      </c>
      <c r="IS22" s="15">
        <v>3.25</v>
      </c>
      <c r="IT22" s="15">
        <v>3.25</v>
      </c>
      <c r="IU22" s="15">
        <v>3</v>
      </c>
      <c r="IV22" s="15">
        <v>4</v>
      </c>
      <c r="IW22" s="15">
        <v>4.25</v>
      </c>
      <c r="IX22" s="15">
        <v>3.5</v>
      </c>
      <c r="IY22" s="15">
        <v>4</v>
      </c>
      <c r="IZ22" s="15">
        <v>4</v>
      </c>
    </row>
    <row r="23" spans="1:260" s="12" customFormat="1" x14ac:dyDescent="0.3">
      <c r="A23" s="15">
        <v>24</v>
      </c>
      <c r="B23" s="15" t="s">
        <v>469</v>
      </c>
      <c r="C23" s="16">
        <v>40</v>
      </c>
      <c r="D23" s="15" t="s">
        <v>288</v>
      </c>
      <c r="E23" s="15" t="s">
        <v>289</v>
      </c>
      <c r="F23" s="15" t="s">
        <v>260</v>
      </c>
      <c r="G23" s="15" t="s">
        <v>283</v>
      </c>
      <c r="H23" s="15" t="s">
        <v>269</v>
      </c>
      <c r="I23" s="15" t="s">
        <v>275</v>
      </c>
      <c r="J23" s="15" t="s">
        <v>329</v>
      </c>
      <c r="K23" s="15" t="s">
        <v>272</v>
      </c>
      <c r="L23" s="15" t="s">
        <v>330</v>
      </c>
      <c r="M23" s="15" t="s">
        <v>331</v>
      </c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>
        <v>0</v>
      </c>
      <c r="AE23" s="15">
        <f t="shared" si="4"/>
        <v>1</v>
      </c>
      <c r="AF23" s="15">
        <v>10</v>
      </c>
      <c r="AG23" s="15">
        <v>0</v>
      </c>
      <c r="AH23" s="15">
        <v>0</v>
      </c>
      <c r="AI23" s="15"/>
      <c r="AJ23" s="15"/>
      <c r="AK23" s="15"/>
      <c r="AL23" s="15"/>
      <c r="AM23" s="15"/>
      <c r="AN23" s="15"/>
      <c r="AO23" s="15">
        <v>0</v>
      </c>
      <c r="AP23" s="15">
        <f>3/3</f>
        <v>1</v>
      </c>
      <c r="AQ23" s="15">
        <v>25.4</v>
      </c>
      <c r="AR23" s="15">
        <v>0</v>
      </c>
      <c r="AS23" s="15"/>
      <c r="AT23" s="15"/>
      <c r="AU23" s="15"/>
      <c r="AV23" s="15"/>
      <c r="AW23" s="15"/>
      <c r="AX23" s="15"/>
      <c r="AY23" s="15"/>
      <c r="AZ23" s="15">
        <v>0</v>
      </c>
      <c r="BA23" s="15">
        <f t="shared" si="6"/>
        <v>1</v>
      </c>
      <c r="BB23" s="15">
        <v>12</v>
      </c>
      <c r="BC23" s="15">
        <v>0</v>
      </c>
      <c r="BD23" s="15"/>
      <c r="BE23" s="15"/>
      <c r="BF23" s="15"/>
      <c r="BG23" s="15"/>
      <c r="BH23" s="15"/>
      <c r="BI23" s="15"/>
      <c r="BJ23" s="15"/>
      <c r="BK23" s="15">
        <v>0</v>
      </c>
      <c r="BL23" s="15">
        <f>2/2</f>
        <v>1</v>
      </c>
      <c r="BM23" s="15">
        <v>17.91</v>
      </c>
      <c r="BN23" s="15">
        <v>0.06</v>
      </c>
      <c r="BO23" s="15"/>
      <c r="BP23" s="15"/>
      <c r="BQ23" s="15"/>
      <c r="BR23" s="15"/>
      <c r="BS23" s="15">
        <v>0</v>
      </c>
      <c r="BT23" s="15">
        <f>2/2</f>
        <v>1</v>
      </c>
      <c r="BU23" s="15">
        <v>17</v>
      </c>
      <c r="BV23" s="15">
        <v>0</v>
      </c>
      <c r="BW23" s="15">
        <v>0</v>
      </c>
      <c r="BX23" s="15"/>
      <c r="BY23" s="15"/>
      <c r="BZ23" s="15"/>
      <c r="CA23" s="15"/>
      <c r="CB23" s="15"/>
      <c r="CC23" s="15"/>
      <c r="CD23" s="15">
        <v>0</v>
      </c>
      <c r="CE23" s="15">
        <f>2/2</f>
        <v>1</v>
      </c>
      <c r="CF23" s="15">
        <v>16.219000000000001</v>
      </c>
      <c r="CG23" s="15">
        <v>0.13750000000000001</v>
      </c>
      <c r="CH23" s="15">
        <v>0</v>
      </c>
      <c r="CI23" s="15"/>
      <c r="CJ23" s="15"/>
      <c r="CK23" s="15">
        <f t="shared" si="0"/>
        <v>98.528999999999996</v>
      </c>
      <c r="CL23" s="15">
        <v>0</v>
      </c>
      <c r="CM23" s="15">
        <v>0</v>
      </c>
      <c r="CN23" s="15">
        <v>0</v>
      </c>
      <c r="CO23" s="15">
        <v>0</v>
      </c>
      <c r="CP23" s="15">
        <v>0</v>
      </c>
      <c r="CQ23" s="15">
        <v>0</v>
      </c>
      <c r="CR23" s="15">
        <v>0.14583333333333334</v>
      </c>
      <c r="CS23" s="15">
        <v>0.34545454545454546</v>
      </c>
      <c r="CT23" s="15">
        <v>0</v>
      </c>
      <c r="CU23" s="15">
        <v>216</v>
      </c>
      <c r="CV23" s="15">
        <v>380</v>
      </c>
      <c r="CW23" s="15">
        <v>0</v>
      </c>
      <c r="CX23" s="15"/>
      <c r="CY23" s="15"/>
      <c r="CZ23" s="15"/>
      <c r="DA23" s="15"/>
      <c r="DB23" s="15"/>
      <c r="DC23" s="15"/>
      <c r="DD23" s="15">
        <v>0</v>
      </c>
      <c r="DE23" s="15">
        <v>0</v>
      </c>
      <c r="DF23" s="15">
        <v>5</v>
      </c>
      <c r="DG23" s="15">
        <v>3</v>
      </c>
      <c r="DH23" s="15">
        <v>3</v>
      </c>
      <c r="DI23" s="15">
        <v>3</v>
      </c>
      <c r="DJ23" s="15">
        <v>5</v>
      </c>
      <c r="DK23" s="15">
        <v>2</v>
      </c>
      <c r="DL23" s="15">
        <v>1</v>
      </c>
      <c r="DM23" s="15">
        <v>4</v>
      </c>
      <c r="DN23" s="15">
        <v>2</v>
      </c>
      <c r="DO23" s="15">
        <v>1</v>
      </c>
      <c r="DP23" s="15">
        <v>1</v>
      </c>
      <c r="DQ23" s="15">
        <v>4</v>
      </c>
      <c r="DR23" s="15">
        <v>3</v>
      </c>
      <c r="DS23" s="15">
        <v>3</v>
      </c>
      <c r="DT23" s="15">
        <v>4</v>
      </c>
      <c r="DU23" s="15">
        <v>3</v>
      </c>
      <c r="DV23" s="15">
        <v>4</v>
      </c>
      <c r="DW23" s="15">
        <v>3</v>
      </c>
      <c r="DX23" s="15">
        <v>4</v>
      </c>
      <c r="DY23" s="15">
        <v>4</v>
      </c>
      <c r="DZ23" s="15">
        <v>3</v>
      </c>
      <c r="EA23" s="15">
        <v>2</v>
      </c>
      <c r="EB23" s="15">
        <v>4</v>
      </c>
      <c r="EC23" s="15">
        <v>2</v>
      </c>
      <c r="ED23" s="15">
        <v>4</v>
      </c>
      <c r="EE23" s="15">
        <v>3</v>
      </c>
      <c r="EF23" s="15">
        <v>3</v>
      </c>
      <c r="EG23" s="15">
        <v>5</v>
      </c>
      <c r="EH23" s="15">
        <v>4</v>
      </c>
      <c r="EI23" s="15">
        <v>1</v>
      </c>
      <c r="EJ23" s="15">
        <v>4</v>
      </c>
      <c r="EK23" s="15">
        <v>3</v>
      </c>
      <c r="EL23" s="15">
        <v>3</v>
      </c>
      <c r="EM23" s="15">
        <v>3</v>
      </c>
      <c r="EN23" s="15">
        <v>3</v>
      </c>
      <c r="EO23" s="15">
        <v>2</v>
      </c>
      <c r="EP23" s="15">
        <v>1</v>
      </c>
      <c r="EQ23" s="15">
        <v>2</v>
      </c>
      <c r="ER23" s="15">
        <v>1</v>
      </c>
      <c r="ES23" s="15">
        <v>3</v>
      </c>
      <c r="ET23" s="15">
        <v>2</v>
      </c>
      <c r="EU23" s="15">
        <v>2</v>
      </c>
      <c r="EV23" s="15">
        <v>3</v>
      </c>
      <c r="EW23" s="15">
        <v>4</v>
      </c>
      <c r="EX23" s="15">
        <v>5</v>
      </c>
      <c r="EY23" s="15">
        <v>2</v>
      </c>
      <c r="EZ23" s="15">
        <v>3</v>
      </c>
      <c r="FA23" s="15">
        <v>2</v>
      </c>
      <c r="FB23" s="15">
        <v>1</v>
      </c>
      <c r="FC23" s="15">
        <v>3</v>
      </c>
      <c r="FD23" s="15">
        <v>3</v>
      </c>
      <c r="FE23" s="15">
        <v>3</v>
      </c>
      <c r="FF23" s="15">
        <v>3</v>
      </c>
      <c r="FG23" s="15">
        <v>1</v>
      </c>
      <c r="FH23" s="15">
        <v>4</v>
      </c>
      <c r="FI23" s="15">
        <v>4</v>
      </c>
      <c r="FJ23" s="15">
        <v>4</v>
      </c>
      <c r="FK23" s="15">
        <v>3</v>
      </c>
      <c r="FL23" s="15">
        <v>5</v>
      </c>
      <c r="FM23" s="15">
        <v>2</v>
      </c>
      <c r="FN23" s="15">
        <v>2</v>
      </c>
      <c r="FO23" s="15">
        <v>3</v>
      </c>
      <c r="FP23" s="15">
        <v>1</v>
      </c>
      <c r="FQ23" s="15">
        <v>3</v>
      </c>
      <c r="FR23" s="15">
        <v>4</v>
      </c>
      <c r="FS23" s="15">
        <v>2</v>
      </c>
      <c r="FT23" s="15">
        <v>5</v>
      </c>
      <c r="FU23" s="15">
        <v>5</v>
      </c>
      <c r="FV23" s="15" t="s">
        <v>312</v>
      </c>
      <c r="FW23" s="15">
        <v>1</v>
      </c>
      <c r="FX23" s="15">
        <v>3</v>
      </c>
      <c r="FY23" s="15">
        <v>2</v>
      </c>
      <c r="FZ23" s="15">
        <v>4</v>
      </c>
      <c r="GA23" s="15">
        <v>2</v>
      </c>
      <c r="GB23" s="15">
        <v>2</v>
      </c>
      <c r="GC23" s="15">
        <v>1</v>
      </c>
      <c r="GD23" s="15">
        <v>2</v>
      </c>
      <c r="GE23" s="15">
        <v>3</v>
      </c>
      <c r="GF23" s="15">
        <v>3</v>
      </c>
      <c r="GG23" s="15">
        <v>1</v>
      </c>
      <c r="GH23" s="15">
        <v>1</v>
      </c>
      <c r="GI23" s="15">
        <v>5</v>
      </c>
      <c r="GJ23" s="15">
        <v>2</v>
      </c>
      <c r="GK23" s="15">
        <v>2</v>
      </c>
      <c r="GL23" s="15">
        <v>1</v>
      </c>
      <c r="GM23" s="15">
        <v>3</v>
      </c>
      <c r="GN23" s="15">
        <v>2</v>
      </c>
      <c r="GO23" s="15">
        <v>4</v>
      </c>
      <c r="GP23" s="15">
        <v>1</v>
      </c>
      <c r="GQ23" s="15">
        <v>2</v>
      </c>
      <c r="GR23" s="15">
        <v>2</v>
      </c>
      <c r="GS23" s="15">
        <v>5</v>
      </c>
      <c r="GT23" s="15">
        <v>4</v>
      </c>
      <c r="GU23" s="15">
        <v>3</v>
      </c>
      <c r="GV23" s="15">
        <v>3</v>
      </c>
      <c r="GW23" s="15">
        <v>4</v>
      </c>
      <c r="GX23" s="15">
        <v>4</v>
      </c>
      <c r="GY23" s="15">
        <v>5</v>
      </c>
      <c r="GZ23" s="15">
        <v>2</v>
      </c>
      <c r="HA23" s="15">
        <v>2</v>
      </c>
      <c r="HB23" s="15">
        <v>1</v>
      </c>
      <c r="HC23" s="15">
        <v>4</v>
      </c>
      <c r="HD23" s="15">
        <v>2</v>
      </c>
      <c r="HE23" s="15">
        <v>3</v>
      </c>
      <c r="HF23" s="15">
        <v>3</v>
      </c>
      <c r="HG23" s="15">
        <v>2</v>
      </c>
      <c r="HH23" s="15">
        <v>2</v>
      </c>
      <c r="HI23" s="15">
        <v>3</v>
      </c>
      <c r="HJ23" s="15">
        <v>2</v>
      </c>
      <c r="HK23" s="15">
        <v>1</v>
      </c>
      <c r="HL23" s="15">
        <v>1</v>
      </c>
      <c r="HM23" s="15">
        <v>4</v>
      </c>
      <c r="HN23" s="15">
        <v>1</v>
      </c>
      <c r="HO23" s="15">
        <v>2</v>
      </c>
      <c r="HP23" s="15">
        <v>1</v>
      </c>
      <c r="HQ23" s="15">
        <v>3</v>
      </c>
      <c r="HR23" s="15">
        <v>3</v>
      </c>
      <c r="HS23" s="15">
        <v>4</v>
      </c>
      <c r="HT23" s="15">
        <v>3</v>
      </c>
      <c r="HU23" s="15">
        <v>3</v>
      </c>
      <c r="HV23" s="15">
        <v>1</v>
      </c>
      <c r="HW23" s="15">
        <v>4</v>
      </c>
      <c r="HX23" s="15">
        <v>3</v>
      </c>
      <c r="HY23" s="15">
        <v>4.5</v>
      </c>
      <c r="HZ23" s="15">
        <v>4.25</v>
      </c>
      <c r="IA23" s="15">
        <v>3.5</v>
      </c>
      <c r="IB23" s="15">
        <v>4.5</v>
      </c>
      <c r="IC23" s="15">
        <v>4</v>
      </c>
      <c r="ID23" s="15">
        <v>2</v>
      </c>
      <c r="IE23" s="15">
        <v>1.75</v>
      </c>
      <c r="IF23" s="15">
        <v>2.75</v>
      </c>
      <c r="IG23" s="15">
        <v>2.25</v>
      </c>
      <c r="IH23" s="15">
        <v>3</v>
      </c>
      <c r="II23" s="15">
        <v>2.75</v>
      </c>
      <c r="IJ23" s="15">
        <v>1</v>
      </c>
      <c r="IK23" s="15">
        <v>3.5</v>
      </c>
      <c r="IL23" s="15">
        <v>3.25</v>
      </c>
      <c r="IM23" s="15">
        <v>2</v>
      </c>
      <c r="IN23" s="15">
        <v>3.75</v>
      </c>
      <c r="IO23" s="15">
        <v>2.5</v>
      </c>
      <c r="IP23" s="15">
        <v>2.75</v>
      </c>
      <c r="IQ23" s="15">
        <v>3.25</v>
      </c>
      <c r="IR23" s="15">
        <v>3.5</v>
      </c>
      <c r="IS23" s="15">
        <v>3.75</v>
      </c>
      <c r="IT23" s="15">
        <v>4</v>
      </c>
      <c r="IU23" s="15">
        <v>3</v>
      </c>
      <c r="IV23" s="15">
        <v>4.5</v>
      </c>
      <c r="IW23" s="15">
        <v>3.5</v>
      </c>
      <c r="IX23" s="15">
        <v>4.25</v>
      </c>
      <c r="IY23" s="15">
        <v>4.75</v>
      </c>
      <c r="IZ23" s="15">
        <v>4</v>
      </c>
    </row>
    <row r="24" spans="1:260" s="12" customFormat="1" x14ac:dyDescent="0.3">
      <c r="A24" s="15">
        <v>25</v>
      </c>
      <c r="B24" s="15" t="s">
        <v>469</v>
      </c>
      <c r="C24" s="16">
        <v>42</v>
      </c>
      <c r="D24" s="15" t="s">
        <v>288</v>
      </c>
      <c r="E24" s="15" t="s">
        <v>289</v>
      </c>
      <c r="F24" s="15" t="s">
        <v>290</v>
      </c>
      <c r="G24" s="15" t="s">
        <v>268</v>
      </c>
      <c r="H24" s="15" t="s">
        <v>291</v>
      </c>
      <c r="I24" s="15" t="s">
        <v>270</v>
      </c>
      <c r="J24" s="15" t="s">
        <v>332</v>
      </c>
      <c r="K24" s="15" t="s">
        <v>272</v>
      </c>
      <c r="L24" s="15" t="s">
        <v>281</v>
      </c>
      <c r="M24" s="15" t="s">
        <v>333</v>
      </c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>
        <v>1</v>
      </c>
      <c r="AA24" s="15">
        <v>0</v>
      </c>
      <c r="AB24" s="15"/>
      <c r="AC24" s="15">
        <v>1.05</v>
      </c>
      <c r="AD24" s="15">
        <v>0</v>
      </c>
      <c r="AE24" s="15">
        <f t="shared" si="4"/>
        <v>1</v>
      </c>
      <c r="AF24" s="15">
        <v>17.329008999999999</v>
      </c>
      <c r="AG24" s="15">
        <v>0</v>
      </c>
      <c r="AH24" s="15">
        <v>0</v>
      </c>
      <c r="AI24" s="15"/>
      <c r="AJ24" s="15"/>
      <c r="AK24" s="15">
        <v>16</v>
      </c>
      <c r="AL24" s="15">
        <f>3/8</f>
        <v>0.375</v>
      </c>
      <c r="AM24" s="15"/>
      <c r="AN24" s="15">
        <f>1.1*14+1+1.05</f>
        <v>17.450000000000003</v>
      </c>
      <c r="AO24" s="15">
        <v>0</v>
      </c>
      <c r="AP24" s="15">
        <f>2/3</f>
        <v>0.66666666666666663</v>
      </c>
      <c r="AQ24" s="15">
        <v>24.006426000000001</v>
      </c>
      <c r="AR24" s="15">
        <v>0.23499999999999999</v>
      </c>
      <c r="AS24" s="15">
        <v>0</v>
      </c>
      <c r="AT24" s="15"/>
      <c r="AU24" s="15"/>
      <c r="AV24" s="15"/>
      <c r="AW24" s="15"/>
      <c r="AX24" s="15"/>
      <c r="AY24" s="15"/>
      <c r="AZ24" s="15">
        <v>0</v>
      </c>
      <c r="BA24" s="15">
        <f t="shared" si="6"/>
        <v>1</v>
      </c>
      <c r="BB24" s="15">
        <v>8.4474689999999999</v>
      </c>
      <c r="BC24" s="15">
        <v>0</v>
      </c>
      <c r="BD24" s="15">
        <v>0</v>
      </c>
      <c r="BE24" s="15"/>
      <c r="BF24" s="15"/>
      <c r="BG24" s="15"/>
      <c r="BH24" s="15"/>
      <c r="BI24" s="15"/>
      <c r="BJ24" s="15"/>
      <c r="BK24" s="15">
        <v>0</v>
      </c>
      <c r="BL24" s="15">
        <f>2/2</f>
        <v>1</v>
      </c>
      <c r="BM24" s="15">
        <v>15.746777</v>
      </c>
      <c r="BN24" s="15">
        <v>0</v>
      </c>
      <c r="BO24" s="15"/>
      <c r="BP24" s="15"/>
      <c r="BQ24" s="15"/>
      <c r="BR24" s="15"/>
      <c r="BS24" s="15">
        <v>0</v>
      </c>
      <c r="BT24" s="15">
        <f>2/2</f>
        <v>1</v>
      </c>
      <c r="BU24" s="15">
        <v>15.322917</v>
      </c>
      <c r="BV24" s="15">
        <v>0</v>
      </c>
      <c r="BW24" s="15">
        <v>0</v>
      </c>
      <c r="BX24" s="15"/>
      <c r="BY24" s="15"/>
      <c r="BZ24" s="15">
        <v>1</v>
      </c>
      <c r="CA24" s="15">
        <v>0</v>
      </c>
      <c r="CB24" s="15"/>
      <c r="CC24" s="15">
        <f>1.05</f>
        <v>1.05</v>
      </c>
      <c r="CD24" s="15">
        <v>0</v>
      </c>
      <c r="CE24" s="15">
        <f>2/2</f>
        <v>1</v>
      </c>
      <c r="CF24" s="15">
        <v>24.255317999999999</v>
      </c>
      <c r="CG24" s="15">
        <v>0.37</v>
      </c>
      <c r="CH24" s="15">
        <v>0</v>
      </c>
      <c r="CI24" s="15"/>
      <c r="CJ24" s="15"/>
      <c r="CK24" s="15">
        <f t="shared" si="0"/>
        <v>105.107916</v>
      </c>
      <c r="CL24" s="15">
        <f>3/8</f>
        <v>0.375</v>
      </c>
      <c r="CM24" s="15">
        <v>2</v>
      </c>
      <c r="CN24" s="15">
        <v>0</v>
      </c>
      <c r="CO24" s="15">
        <v>0</v>
      </c>
      <c r="CP24" s="15">
        <v>0</v>
      </c>
      <c r="CQ24" s="15">
        <v>0</v>
      </c>
      <c r="CR24" s="15">
        <v>0.29166666666666669</v>
      </c>
      <c r="CS24" s="15">
        <v>0.43636363636363634</v>
      </c>
      <c r="CT24" s="15">
        <v>1</v>
      </c>
      <c r="CU24" s="15">
        <v>233</v>
      </c>
      <c r="CV24" s="15">
        <v>580</v>
      </c>
      <c r="CW24" s="15">
        <v>1</v>
      </c>
      <c r="CX24" s="15"/>
      <c r="CY24" s="15"/>
      <c r="CZ24" s="15"/>
      <c r="DA24" s="15"/>
      <c r="DB24" s="15"/>
      <c r="DC24" s="15"/>
      <c r="DD24" s="15">
        <v>0</v>
      </c>
      <c r="DE24" s="15">
        <v>0</v>
      </c>
      <c r="DF24" s="15">
        <v>4</v>
      </c>
      <c r="DG24" s="15">
        <v>4</v>
      </c>
      <c r="DH24" s="15">
        <v>5</v>
      </c>
      <c r="DI24" s="15">
        <v>4</v>
      </c>
      <c r="DJ24" s="15">
        <v>4</v>
      </c>
      <c r="DK24" s="15">
        <v>2</v>
      </c>
      <c r="DL24" s="15">
        <v>4</v>
      </c>
      <c r="DM24" s="15">
        <v>5</v>
      </c>
      <c r="DN24" s="15">
        <v>1</v>
      </c>
      <c r="DO24" s="15">
        <v>4</v>
      </c>
      <c r="DP24" s="15">
        <v>2</v>
      </c>
      <c r="DQ24" s="15">
        <v>3</v>
      </c>
      <c r="DR24" s="15">
        <v>4</v>
      </c>
      <c r="DS24" s="15">
        <v>4</v>
      </c>
      <c r="DT24" s="15">
        <v>5</v>
      </c>
      <c r="DU24" s="15">
        <v>3</v>
      </c>
      <c r="DV24" s="15">
        <v>1</v>
      </c>
      <c r="DW24" s="15">
        <v>4</v>
      </c>
      <c r="DX24" s="15">
        <v>1</v>
      </c>
      <c r="DY24" s="15">
        <v>3</v>
      </c>
      <c r="DZ24" s="15">
        <v>3</v>
      </c>
      <c r="EA24" s="15">
        <v>3</v>
      </c>
      <c r="EB24" s="15">
        <v>4</v>
      </c>
      <c r="EC24" s="15">
        <v>1</v>
      </c>
      <c r="ED24" s="15">
        <v>3</v>
      </c>
      <c r="EE24" s="15">
        <v>3</v>
      </c>
      <c r="EF24" s="15">
        <v>4</v>
      </c>
      <c r="EG24" s="15">
        <v>4</v>
      </c>
      <c r="EH24" s="15">
        <v>4</v>
      </c>
      <c r="EI24" s="15">
        <v>3</v>
      </c>
      <c r="EJ24" s="15">
        <v>2</v>
      </c>
      <c r="EK24" s="15">
        <v>4</v>
      </c>
      <c r="EL24" s="15">
        <v>4</v>
      </c>
      <c r="EM24" s="15">
        <v>3</v>
      </c>
      <c r="EN24" s="15">
        <v>3</v>
      </c>
      <c r="EO24" s="15">
        <v>1</v>
      </c>
      <c r="EP24" s="15">
        <v>2</v>
      </c>
      <c r="EQ24" s="15">
        <v>5</v>
      </c>
      <c r="ER24" s="15">
        <v>1</v>
      </c>
      <c r="ES24" s="15">
        <v>4</v>
      </c>
      <c r="ET24" s="15">
        <v>2</v>
      </c>
      <c r="EU24" s="15">
        <v>1</v>
      </c>
      <c r="EV24" s="15">
        <v>4</v>
      </c>
      <c r="EW24" s="15">
        <v>4</v>
      </c>
      <c r="EX24" s="15">
        <v>5</v>
      </c>
      <c r="EY24" s="15">
        <v>3</v>
      </c>
      <c r="EZ24" s="15">
        <v>2</v>
      </c>
      <c r="FA24" s="15">
        <v>3</v>
      </c>
      <c r="FB24" s="15">
        <v>1</v>
      </c>
      <c r="FC24" s="15">
        <v>3</v>
      </c>
      <c r="FD24" s="15">
        <v>3</v>
      </c>
      <c r="FE24" s="15">
        <v>3</v>
      </c>
      <c r="FF24" s="15">
        <v>2</v>
      </c>
      <c r="FG24" s="15">
        <v>3</v>
      </c>
      <c r="FH24" s="15">
        <v>4</v>
      </c>
      <c r="FI24" s="15">
        <v>2</v>
      </c>
      <c r="FJ24" s="15">
        <v>4</v>
      </c>
      <c r="FK24" s="15">
        <v>4</v>
      </c>
      <c r="FL24" s="15">
        <v>4</v>
      </c>
      <c r="FM24" s="15">
        <v>2</v>
      </c>
      <c r="FN24" s="15">
        <v>1</v>
      </c>
      <c r="FO24" s="15">
        <v>2</v>
      </c>
      <c r="FP24" s="15">
        <v>4</v>
      </c>
      <c r="FQ24" s="15">
        <v>4</v>
      </c>
      <c r="FR24" s="15">
        <v>4</v>
      </c>
      <c r="FS24" s="15">
        <v>2</v>
      </c>
      <c r="FT24" s="15">
        <v>3</v>
      </c>
      <c r="FU24" s="15">
        <v>2</v>
      </c>
      <c r="FV24" s="15">
        <v>4</v>
      </c>
      <c r="FW24" s="15">
        <v>2</v>
      </c>
      <c r="FX24" s="15">
        <v>4</v>
      </c>
      <c r="FY24" s="15">
        <v>2</v>
      </c>
      <c r="FZ24" s="15">
        <v>2</v>
      </c>
      <c r="GA24" s="15">
        <v>3</v>
      </c>
      <c r="GB24" s="15">
        <v>1</v>
      </c>
      <c r="GC24" s="15">
        <v>1</v>
      </c>
      <c r="GD24" s="15">
        <v>3</v>
      </c>
      <c r="GE24" s="15">
        <v>3</v>
      </c>
      <c r="GF24" s="15">
        <v>2</v>
      </c>
      <c r="GG24" s="15">
        <v>1</v>
      </c>
      <c r="GH24" s="15">
        <v>2</v>
      </c>
      <c r="GI24" s="15">
        <v>3</v>
      </c>
      <c r="GJ24" s="15">
        <v>1</v>
      </c>
      <c r="GK24" s="15">
        <v>4</v>
      </c>
      <c r="GL24" s="15">
        <v>3</v>
      </c>
      <c r="GM24" s="15">
        <v>3</v>
      </c>
      <c r="GN24" s="15">
        <v>1</v>
      </c>
      <c r="GO24" s="15">
        <v>5</v>
      </c>
      <c r="GP24" s="15">
        <v>1</v>
      </c>
      <c r="GQ24" s="15">
        <v>3</v>
      </c>
      <c r="GR24" s="15">
        <v>1</v>
      </c>
      <c r="GS24" s="15">
        <v>3</v>
      </c>
      <c r="GT24" s="15">
        <v>2</v>
      </c>
      <c r="GU24" s="15">
        <v>3</v>
      </c>
      <c r="GV24" s="15">
        <v>2</v>
      </c>
      <c r="GW24" s="15">
        <v>3</v>
      </c>
      <c r="GX24" s="15">
        <v>4</v>
      </c>
      <c r="GY24" s="15">
        <v>2</v>
      </c>
      <c r="GZ24" s="15">
        <v>1</v>
      </c>
      <c r="HA24" s="15">
        <v>1</v>
      </c>
      <c r="HB24" s="15">
        <v>4</v>
      </c>
      <c r="HC24" s="15">
        <v>5</v>
      </c>
      <c r="HD24" s="15">
        <v>3</v>
      </c>
      <c r="HE24" s="15">
        <v>1</v>
      </c>
      <c r="HF24" s="15">
        <v>2</v>
      </c>
      <c r="HG24" s="15">
        <v>1</v>
      </c>
      <c r="HH24" s="15">
        <v>2</v>
      </c>
      <c r="HI24" s="15">
        <v>5</v>
      </c>
      <c r="HJ24" s="15">
        <v>3</v>
      </c>
      <c r="HK24" s="15">
        <v>1</v>
      </c>
      <c r="HL24" s="15">
        <v>2</v>
      </c>
      <c r="HM24" s="15">
        <v>4</v>
      </c>
      <c r="HN24" s="15">
        <v>1</v>
      </c>
      <c r="HO24" s="15">
        <v>1</v>
      </c>
      <c r="HP24" s="15">
        <v>1</v>
      </c>
      <c r="HQ24" s="15">
        <v>3</v>
      </c>
      <c r="HR24" s="15">
        <v>3</v>
      </c>
      <c r="HS24" s="15">
        <v>5</v>
      </c>
      <c r="HT24" s="15">
        <v>4</v>
      </c>
      <c r="HU24" s="15">
        <v>3</v>
      </c>
      <c r="HV24" s="15">
        <v>2</v>
      </c>
      <c r="HW24" s="15">
        <v>3.5</v>
      </c>
      <c r="HX24" s="15">
        <v>2.5</v>
      </c>
      <c r="HY24" s="15">
        <v>5</v>
      </c>
      <c r="HZ24" s="15">
        <v>3.5</v>
      </c>
      <c r="IA24" s="15">
        <v>3.25</v>
      </c>
      <c r="IB24" s="15">
        <v>4</v>
      </c>
      <c r="IC24" s="15">
        <v>2.5</v>
      </c>
      <c r="ID24" s="15">
        <v>1.75</v>
      </c>
      <c r="IE24" s="15">
        <v>1.75</v>
      </c>
      <c r="IF24" s="15">
        <v>3.25</v>
      </c>
      <c r="IG24" s="15">
        <v>2.75</v>
      </c>
      <c r="IH24" s="15">
        <v>2.25</v>
      </c>
      <c r="II24" s="15">
        <v>4</v>
      </c>
      <c r="IJ24" s="15">
        <v>3.25</v>
      </c>
      <c r="IK24" s="15">
        <v>2.25</v>
      </c>
      <c r="IL24" s="15">
        <v>1.75</v>
      </c>
      <c r="IM24" s="15">
        <v>2</v>
      </c>
      <c r="IN24" s="15">
        <v>4.5</v>
      </c>
      <c r="IO24" s="15">
        <v>4</v>
      </c>
      <c r="IP24" s="15">
        <v>4.75</v>
      </c>
      <c r="IQ24" s="15">
        <v>4</v>
      </c>
      <c r="IR24" s="15">
        <v>3.5</v>
      </c>
      <c r="IS24" s="15">
        <v>3.75</v>
      </c>
      <c r="IT24" s="15">
        <v>3.75</v>
      </c>
      <c r="IU24" s="15">
        <v>3.75</v>
      </c>
      <c r="IV24" s="15">
        <v>4.75</v>
      </c>
      <c r="IW24" s="15">
        <v>4.25</v>
      </c>
      <c r="IX24" s="15">
        <v>5</v>
      </c>
      <c r="IY24" s="15">
        <v>4</v>
      </c>
      <c r="IZ24" s="15">
        <v>3.5</v>
      </c>
    </row>
    <row r="25" spans="1:260" s="12" customFormat="1" x14ac:dyDescent="0.3">
      <c r="A25" s="15">
        <v>26</v>
      </c>
      <c r="B25" s="15" t="s">
        <v>469</v>
      </c>
      <c r="C25" s="16">
        <v>46</v>
      </c>
      <c r="D25" s="15" t="s">
        <v>258</v>
      </c>
      <c r="E25" s="15" t="s">
        <v>259</v>
      </c>
      <c r="F25" s="15" t="s">
        <v>260</v>
      </c>
      <c r="G25" s="15" t="s">
        <v>268</v>
      </c>
      <c r="H25" s="15" t="s">
        <v>262</v>
      </c>
      <c r="I25" s="15" t="s">
        <v>280</v>
      </c>
      <c r="J25" s="15" t="s">
        <v>334</v>
      </c>
      <c r="K25" s="15" t="s">
        <v>272</v>
      </c>
      <c r="L25" s="15" t="s">
        <v>321</v>
      </c>
      <c r="M25" s="15" t="s">
        <v>335</v>
      </c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>
        <v>0</v>
      </c>
      <c r="AE25" s="15">
        <f t="shared" si="4"/>
        <v>1</v>
      </c>
      <c r="AF25" s="15">
        <v>44.752974999999999</v>
      </c>
      <c r="AG25" s="15">
        <v>0</v>
      </c>
      <c r="AH25" s="15">
        <f>1</f>
        <v>1</v>
      </c>
      <c r="AI25" s="15">
        <v>0</v>
      </c>
      <c r="AJ25" s="15">
        <f>5/5</f>
        <v>1</v>
      </c>
      <c r="AK25" s="15">
        <v>8</v>
      </c>
      <c r="AL25" s="15">
        <f>7/8</f>
        <v>0.875</v>
      </c>
      <c r="AM25" s="15">
        <v>61.666595000000001</v>
      </c>
      <c r="AN25" s="15">
        <v>9.4</v>
      </c>
      <c r="AO25" s="15"/>
      <c r="AP25" s="15"/>
      <c r="AQ25" s="15"/>
      <c r="AR25" s="15"/>
      <c r="AS25" s="15">
        <v>0</v>
      </c>
      <c r="AT25" s="15"/>
      <c r="AU25" s="15"/>
      <c r="AV25" s="15"/>
      <c r="AW25" s="15"/>
      <c r="AX25" s="15"/>
      <c r="AY25" s="15"/>
      <c r="AZ25" s="15">
        <v>0</v>
      </c>
      <c r="BA25" s="15">
        <f t="shared" si="6"/>
        <v>1</v>
      </c>
      <c r="BB25" s="15">
        <v>21.453054000000002</v>
      </c>
      <c r="BC25" s="15">
        <v>0</v>
      </c>
      <c r="BD25" s="15">
        <v>0</v>
      </c>
      <c r="BE25" s="15"/>
      <c r="BF25" s="15"/>
      <c r="BG25" s="15">
        <v>3</v>
      </c>
      <c r="BH25" s="15">
        <f>0</f>
        <v>0</v>
      </c>
      <c r="BI25" s="15"/>
      <c r="BJ25" s="15">
        <v>2.5500000000000003</v>
      </c>
      <c r="BK25" s="15">
        <v>0</v>
      </c>
      <c r="BL25" s="15">
        <f>2/2</f>
        <v>1</v>
      </c>
      <c r="BM25" s="15">
        <v>13.077408999999999</v>
      </c>
      <c r="BN25" s="15">
        <v>0.125</v>
      </c>
      <c r="BO25" s="15"/>
      <c r="BP25" s="15"/>
      <c r="BQ25" s="15"/>
      <c r="BR25" s="15"/>
      <c r="BS25" s="15">
        <v>0</v>
      </c>
      <c r="BT25" s="15">
        <f>2/2</f>
        <v>1</v>
      </c>
      <c r="BU25" s="15">
        <v>11.127056</v>
      </c>
      <c r="BV25" s="15">
        <f>0</f>
        <v>0</v>
      </c>
      <c r="BW25" s="15">
        <v>0</v>
      </c>
      <c r="BX25" s="15"/>
      <c r="BY25" s="15"/>
      <c r="BZ25" s="15"/>
      <c r="CA25" s="15"/>
      <c r="CB25" s="15"/>
      <c r="CC25" s="15"/>
      <c r="CD25" s="15">
        <v>0</v>
      </c>
      <c r="CE25" s="15">
        <f>2/2</f>
        <v>1</v>
      </c>
      <c r="CF25" s="15">
        <v>22.737992999999999</v>
      </c>
      <c r="CG25" s="15">
        <f>0.2</f>
        <v>0.2</v>
      </c>
      <c r="CH25" s="15">
        <v>0</v>
      </c>
      <c r="CI25" s="15"/>
      <c r="CJ25" s="15"/>
      <c r="CK25" s="15">
        <f t="shared" si="0"/>
        <v>174.81508199999999</v>
      </c>
      <c r="CL25" s="15">
        <f>2/8</f>
        <v>0.25</v>
      </c>
      <c r="CM25" s="15">
        <v>1</v>
      </c>
      <c r="CN25" s="15">
        <f>1/5</f>
        <v>0.2</v>
      </c>
      <c r="CO25" s="15">
        <f>1/5</f>
        <v>0.2</v>
      </c>
      <c r="CP25" s="15">
        <v>0</v>
      </c>
      <c r="CQ25" s="15">
        <v>0</v>
      </c>
      <c r="CR25" s="15">
        <v>0.97916666666666663</v>
      </c>
      <c r="CS25" s="15">
        <v>0.99090909090909096</v>
      </c>
      <c r="CT25" s="15">
        <v>2</v>
      </c>
      <c r="CU25" s="15">
        <v>874</v>
      </c>
      <c r="CV25" s="15">
        <v>903</v>
      </c>
      <c r="CW25" s="15">
        <v>0</v>
      </c>
      <c r="CX25" s="15"/>
      <c r="CY25" s="15"/>
      <c r="CZ25" s="15"/>
      <c r="DA25" s="15"/>
      <c r="DB25" s="15"/>
      <c r="DC25" s="15"/>
      <c r="DD25" s="15">
        <v>0</v>
      </c>
      <c r="DE25" s="15">
        <v>0</v>
      </c>
      <c r="DF25" s="15">
        <v>5</v>
      </c>
      <c r="DG25" s="15">
        <v>4</v>
      </c>
      <c r="DH25" s="15">
        <v>5</v>
      </c>
      <c r="DI25" s="15">
        <v>4</v>
      </c>
      <c r="DJ25" s="15">
        <v>4</v>
      </c>
      <c r="DK25" s="15">
        <v>3</v>
      </c>
      <c r="DL25" s="15">
        <v>3</v>
      </c>
      <c r="DM25" s="15">
        <v>5</v>
      </c>
      <c r="DN25" s="15">
        <v>1</v>
      </c>
      <c r="DO25" s="15">
        <v>5</v>
      </c>
      <c r="DP25" s="15">
        <v>3</v>
      </c>
      <c r="DQ25" s="15">
        <v>5</v>
      </c>
      <c r="DR25" s="15">
        <v>4</v>
      </c>
      <c r="DS25" s="15">
        <v>5</v>
      </c>
      <c r="DT25" s="15">
        <v>5</v>
      </c>
      <c r="DU25" s="15">
        <v>3</v>
      </c>
      <c r="DV25" s="15">
        <v>3</v>
      </c>
      <c r="DW25" s="15">
        <v>4</v>
      </c>
      <c r="DX25" s="15">
        <v>1</v>
      </c>
      <c r="DY25" s="15">
        <v>4</v>
      </c>
      <c r="DZ25" s="15">
        <v>2</v>
      </c>
      <c r="EA25" s="15">
        <v>4</v>
      </c>
      <c r="EB25" s="15">
        <v>5</v>
      </c>
      <c r="EC25" s="15">
        <v>3</v>
      </c>
      <c r="ED25" s="15">
        <v>4</v>
      </c>
      <c r="EE25" s="15">
        <v>2</v>
      </c>
      <c r="EF25" s="15">
        <v>4</v>
      </c>
      <c r="EG25" s="15">
        <v>2</v>
      </c>
      <c r="EH25" s="15">
        <v>5</v>
      </c>
      <c r="EI25" s="15">
        <v>2</v>
      </c>
      <c r="EJ25" s="15">
        <v>4</v>
      </c>
      <c r="EK25" s="15">
        <v>4</v>
      </c>
      <c r="EL25" s="15">
        <v>5</v>
      </c>
      <c r="EM25" s="15">
        <v>3</v>
      </c>
      <c r="EN25" s="15">
        <v>4</v>
      </c>
      <c r="EO25" s="15">
        <v>3</v>
      </c>
      <c r="EP25" s="15">
        <v>2</v>
      </c>
      <c r="EQ25" s="15">
        <v>5</v>
      </c>
      <c r="ER25" s="15">
        <v>1</v>
      </c>
      <c r="ES25" s="15">
        <v>1</v>
      </c>
      <c r="ET25" s="15">
        <v>1</v>
      </c>
      <c r="EU25" s="15">
        <v>3</v>
      </c>
      <c r="EV25" s="15">
        <v>4</v>
      </c>
      <c r="EW25" s="15">
        <v>4</v>
      </c>
      <c r="EX25" s="15">
        <v>5</v>
      </c>
      <c r="EY25" s="15">
        <v>3</v>
      </c>
      <c r="EZ25" s="15">
        <v>3</v>
      </c>
      <c r="FA25" s="15">
        <v>2</v>
      </c>
      <c r="FB25" s="15">
        <v>1</v>
      </c>
      <c r="FC25" s="15">
        <v>4</v>
      </c>
      <c r="FD25" s="15">
        <v>3</v>
      </c>
      <c r="FE25" s="15">
        <v>4</v>
      </c>
      <c r="FF25" s="15">
        <v>3</v>
      </c>
      <c r="FG25" s="15">
        <v>3</v>
      </c>
      <c r="FH25" s="15">
        <v>4</v>
      </c>
      <c r="FI25" s="15">
        <v>2</v>
      </c>
      <c r="FJ25" s="15">
        <v>4</v>
      </c>
      <c r="FK25" s="15">
        <v>4</v>
      </c>
      <c r="FL25" s="15">
        <v>4</v>
      </c>
      <c r="FM25" s="15">
        <v>1</v>
      </c>
      <c r="FN25" s="15">
        <v>2</v>
      </c>
      <c r="FO25" s="15">
        <v>2</v>
      </c>
      <c r="FP25" s="15">
        <v>5</v>
      </c>
      <c r="FQ25" s="15">
        <v>4</v>
      </c>
      <c r="FR25" s="15">
        <v>5</v>
      </c>
      <c r="FS25" s="15">
        <v>2</v>
      </c>
      <c r="FT25" s="15">
        <v>2</v>
      </c>
      <c r="FU25" s="15">
        <v>2</v>
      </c>
      <c r="FV25" s="15">
        <v>4</v>
      </c>
      <c r="FW25" s="15">
        <v>1</v>
      </c>
      <c r="FX25" s="15">
        <v>1</v>
      </c>
      <c r="FY25" s="15">
        <v>2</v>
      </c>
      <c r="FZ25" s="15">
        <v>4</v>
      </c>
      <c r="GA25" s="15">
        <v>2</v>
      </c>
      <c r="GB25" s="15">
        <v>1</v>
      </c>
      <c r="GC25" s="15">
        <v>2</v>
      </c>
      <c r="GD25" s="15">
        <v>2</v>
      </c>
      <c r="GE25" s="15">
        <v>4</v>
      </c>
      <c r="GF25" s="15">
        <v>3</v>
      </c>
      <c r="GG25" s="15">
        <v>1</v>
      </c>
      <c r="GH25" s="15">
        <v>1</v>
      </c>
      <c r="GI25" s="15">
        <v>4</v>
      </c>
      <c r="GJ25" s="15">
        <v>3</v>
      </c>
      <c r="GK25" s="15">
        <v>2</v>
      </c>
      <c r="GL25" s="15">
        <v>2</v>
      </c>
      <c r="GM25" s="15">
        <v>2</v>
      </c>
      <c r="GN25" s="15">
        <v>2</v>
      </c>
      <c r="GO25" s="15">
        <v>5</v>
      </c>
      <c r="GP25" s="15">
        <v>1</v>
      </c>
      <c r="GQ25" s="15">
        <v>1</v>
      </c>
      <c r="GR25" s="15">
        <v>2</v>
      </c>
      <c r="GS25" s="15">
        <v>2</v>
      </c>
      <c r="GT25" s="15">
        <v>2</v>
      </c>
      <c r="GU25" s="15">
        <v>3</v>
      </c>
      <c r="GV25" s="15">
        <v>2</v>
      </c>
      <c r="GW25" s="15">
        <v>4</v>
      </c>
      <c r="GX25" s="15">
        <v>4</v>
      </c>
      <c r="GY25" s="15">
        <v>1</v>
      </c>
      <c r="GZ25" s="15">
        <v>1</v>
      </c>
      <c r="HA25" s="15">
        <v>1</v>
      </c>
      <c r="HB25" s="15">
        <v>1</v>
      </c>
      <c r="HC25" s="15">
        <v>5</v>
      </c>
      <c r="HD25" s="15">
        <v>2</v>
      </c>
      <c r="HE25" s="15">
        <v>1</v>
      </c>
      <c r="HF25" s="15">
        <v>2</v>
      </c>
      <c r="HG25" s="15">
        <v>1</v>
      </c>
      <c r="HH25" s="15">
        <v>4</v>
      </c>
      <c r="HI25" s="15">
        <v>4</v>
      </c>
      <c r="HJ25" s="15">
        <v>2</v>
      </c>
      <c r="HK25" s="15">
        <v>1</v>
      </c>
      <c r="HL25" s="15">
        <v>1</v>
      </c>
      <c r="HM25" s="15">
        <v>4</v>
      </c>
      <c r="HN25" s="15">
        <v>1</v>
      </c>
      <c r="HO25" s="15">
        <v>2</v>
      </c>
      <c r="HP25" s="15">
        <v>1</v>
      </c>
      <c r="HQ25" s="15">
        <v>2</v>
      </c>
      <c r="HR25" s="15">
        <v>4</v>
      </c>
      <c r="HS25" s="15">
        <v>5</v>
      </c>
      <c r="HT25" s="15">
        <v>4</v>
      </c>
      <c r="HU25" s="15">
        <v>2</v>
      </c>
      <c r="HV25" s="15">
        <v>1</v>
      </c>
      <c r="HW25" s="15">
        <v>4.25</v>
      </c>
      <c r="HX25" s="15">
        <v>5</v>
      </c>
      <c r="HY25" s="15">
        <v>4.75</v>
      </c>
      <c r="HZ25" s="15">
        <v>4.5</v>
      </c>
      <c r="IA25" s="15">
        <v>4</v>
      </c>
      <c r="IB25" s="15">
        <v>4.5</v>
      </c>
      <c r="IC25" s="15">
        <v>3.25</v>
      </c>
      <c r="ID25" s="15">
        <v>2.5</v>
      </c>
      <c r="IE25" s="15">
        <v>1.75</v>
      </c>
      <c r="IF25" s="15">
        <v>2.5</v>
      </c>
      <c r="IG25" s="15">
        <v>2.25</v>
      </c>
      <c r="IH25" s="15">
        <v>2</v>
      </c>
      <c r="II25" s="15">
        <v>4</v>
      </c>
      <c r="IJ25" s="15">
        <v>3.5</v>
      </c>
      <c r="IK25" s="15">
        <v>4</v>
      </c>
      <c r="IL25" s="15">
        <v>3</v>
      </c>
      <c r="IM25" s="15">
        <v>3</v>
      </c>
      <c r="IN25" s="15">
        <v>4.5</v>
      </c>
      <c r="IO25" s="15">
        <v>4.5</v>
      </c>
      <c r="IP25" s="15">
        <v>4.75</v>
      </c>
      <c r="IQ25" s="15">
        <v>4.25</v>
      </c>
      <c r="IR25" s="15">
        <v>3.75</v>
      </c>
      <c r="IS25" s="15">
        <v>4</v>
      </c>
      <c r="IT25" s="15">
        <v>3.25</v>
      </c>
      <c r="IU25" s="15">
        <v>3.75</v>
      </c>
      <c r="IV25" s="15">
        <v>5</v>
      </c>
      <c r="IW25" s="15">
        <v>4.5</v>
      </c>
      <c r="IX25" s="15">
        <v>5</v>
      </c>
      <c r="IY25" s="15">
        <v>3.75</v>
      </c>
      <c r="IZ25" s="15">
        <v>4.5</v>
      </c>
    </row>
    <row r="26" spans="1:260" s="12" customFormat="1" x14ac:dyDescent="0.3">
      <c r="A26" s="15">
        <v>27</v>
      </c>
      <c r="B26" s="15" t="s">
        <v>469</v>
      </c>
      <c r="C26" s="16">
        <v>24</v>
      </c>
      <c r="D26" s="15" t="s">
        <v>258</v>
      </c>
      <c r="E26" s="15" t="s">
        <v>259</v>
      </c>
      <c r="F26" s="15" t="s">
        <v>260</v>
      </c>
      <c r="G26" s="15" t="s">
        <v>268</v>
      </c>
      <c r="H26" s="15" t="s">
        <v>269</v>
      </c>
      <c r="I26" s="15" t="s">
        <v>280</v>
      </c>
      <c r="J26" s="15" t="s">
        <v>336</v>
      </c>
      <c r="K26" s="15" t="s">
        <v>277</v>
      </c>
      <c r="L26" s="15" t="s">
        <v>314</v>
      </c>
      <c r="M26" s="15" t="s">
        <v>337</v>
      </c>
      <c r="N26" s="15"/>
      <c r="O26" s="15"/>
      <c r="P26" s="15"/>
      <c r="Q26" s="15"/>
      <c r="R26" s="15">
        <f>1/1</f>
        <v>1</v>
      </c>
      <c r="S26" s="15">
        <v>0</v>
      </c>
      <c r="T26" s="15">
        <v>24.384840000000001</v>
      </c>
      <c r="U26" s="15">
        <v>0</v>
      </c>
      <c r="V26" s="15">
        <v>1</v>
      </c>
      <c r="W26" s="15">
        <f>8/8</f>
        <v>1</v>
      </c>
      <c r="X26" s="15">
        <v>17.675695999999999</v>
      </c>
      <c r="Y26" s="15">
        <v>1.9024999999999821</v>
      </c>
      <c r="Z26" s="15">
        <v>0</v>
      </c>
      <c r="AA26" s="15">
        <f>5/5</f>
        <v>1</v>
      </c>
      <c r="AB26" s="15">
        <v>7.9652579999999995</v>
      </c>
      <c r="AC26" s="15">
        <v>1.05</v>
      </c>
      <c r="AD26" s="15"/>
      <c r="AE26" s="15"/>
      <c r="AF26" s="15"/>
      <c r="AG26" s="15"/>
      <c r="AH26" s="15">
        <v>0</v>
      </c>
      <c r="AI26" s="15"/>
      <c r="AJ26" s="15"/>
      <c r="AK26" s="15">
        <v>5</v>
      </c>
      <c r="AL26" s="15">
        <f>7/8</f>
        <v>0.875</v>
      </c>
      <c r="AM26" s="15">
        <v>26.835391000000001</v>
      </c>
      <c r="AN26" s="15">
        <v>5.5</v>
      </c>
      <c r="AO26" s="15"/>
      <c r="AP26" s="15"/>
      <c r="AQ26" s="15"/>
      <c r="AR26" s="15"/>
      <c r="AS26" s="15">
        <v>0</v>
      </c>
      <c r="AT26" s="15"/>
      <c r="AU26" s="15"/>
      <c r="AV26" s="15"/>
      <c r="AW26" s="15"/>
      <c r="AX26" s="15"/>
      <c r="AY26" s="15"/>
      <c r="AZ26" s="15">
        <v>0</v>
      </c>
      <c r="BA26" s="15">
        <f t="shared" si="6"/>
        <v>1</v>
      </c>
      <c r="BB26" s="15">
        <v>15.966291999999999</v>
      </c>
      <c r="BC26" s="15">
        <v>0</v>
      </c>
      <c r="BD26" s="15">
        <v>0</v>
      </c>
      <c r="BE26" s="15"/>
      <c r="BF26" s="15"/>
      <c r="BG26" s="15">
        <v>0</v>
      </c>
      <c r="BH26" s="15">
        <f>5/5</f>
        <v>1</v>
      </c>
      <c r="BI26" s="15">
        <v>39.914362000000004</v>
      </c>
      <c r="BJ26" s="15">
        <v>0</v>
      </c>
      <c r="BK26" s="15"/>
      <c r="BL26" s="15"/>
      <c r="BM26" s="15"/>
      <c r="BN26" s="15"/>
      <c r="BO26" s="15"/>
      <c r="BP26" s="15"/>
      <c r="BQ26" s="15"/>
      <c r="BR26" s="15"/>
      <c r="BS26" s="15">
        <v>0</v>
      </c>
      <c r="BT26" s="15">
        <f>2/2</f>
        <v>1</v>
      </c>
      <c r="BU26" s="15">
        <v>14.433067999999999</v>
      </c>
      <c r="BV26" s="15">
        <v>0</v>
      </c>
      <c r="BW26" s="15">
        <v>0</v>
      </c>
      <c r="BX26" s="15"/>
      <c r="BY26" s="15"/>
      <c r="BZ26" s="15"/>
      <c r="CA26" s="15"/>
      <c r="CB26" s="15"/>
      <c r="CC26" s="15"/>
      <c r="CD26" s="15">
        <v>0</v>
      </c>
      <c r="CE26" s="15">
        <f>2/2</f>
        <v>1</v>
      </c>
      <c r="CF26" s="15">
        <v>14.582455</v>
      </c>
      <c r="CG26" s="15">
        <v>0.06</v>
      </c>
      <c r="CH26" s="15">
        <v>0</v>
      </c>
      <c r="CI26" s="15"/>
      <c r="CJ26" s="15"/>
      <c r="CK26" s="15">
        <f t="shared" si="0"/>
        <v>161.757362</v>
      </c>
      <c r="CL26" s="15">
        <f>4/8</f>
        <v>0.5</v>
      </c>
      <c r="CM26" s="15">
        <v>0</v>
      </c>
      <c r="CN26" s="15">
        <v>0</v>
      </c>
      <c r="CO26" s="15">
        <v>0</v>
      </c>
      <c r="CP26" s="15">
        <v>0</v>
      </c>
      <c r="CQ26" s="15">
        <v>1</v>
      </c>
      <c r="CR26" s="15">
        <v>1</v>
      </c>
      <c r="CS26" s="15">
        <v>1</v>
      </c>
      <c r="CT26" s="15">
        <v>2</v>
      </c>
      <c r="CU26" s="15">
        <v>335</v>
      </c>
      <c r="CV26" s="15">
        <v>1300</v>
      </c>
      <c r="CW26" s="15">
        <v>2</v>
      </c>
      <c r="CX26" s="15"/>
      <c r="CY26" s="15"/>
      <c r="CZ26" s="15"/>
      <c r="DA26" s="15"/>
      <c r="DB26" s="15"/>
      <c r="DC26" s="15"/>
      <c r="DD26" s="15">
        <v>0</v>
      </c>
      <c r="DE26" s="15">
        <v>0</v>
      </c>
      <c r="DF26" s="15">
        <v>5</v>
      </c>
      <c r="DG26" s="15">
        <v>4</v>
      </c>
      <c r="DH26" s="15">
        <v>5</v>
      </c>
      <c r="DI26" s="15">
        <v>2</v>
      </c>
      <c r="DJ26" s="15">
        <v>3</v>
      </c>
      <c r="DK26" s="15">
        <v>3</v>
      </c>
      <c r="DL26" s="15">
        <v>4</v>
      </c>
      <c r="DM26" s="15">
        <v>3</v>
      </c>
      <c r="DN26" s="15">
        <v>2</v>
      </c>
      <c r="DO26" s="15">
        <v>3</v>
      </c>
      <c r="DP26" s="15">
        <v>4</v>
      </c>
      <c r="DQ26" s="15">
        <v>4</v>
      </c>
      <c r="DR26" s="15">
        <v>2</v>
      </c>
      <c r="DS26" s="15">
        <v>4</v>
      </c>
      <c r="DT26" s="15">
        <v>3</v>
      </c>
      <c r="DU26" s="15">
        <v>3</v>
      </c>
      <c r="DV26" s="15">
        <v>3</v>
      </c>
      <c r="DW26" s="15">
        <v>3</v>
      </c>
      <c r="DX26" s="15">
        <v>3</v>
      </c>
      <c r="DY26" s="15">
        <v>4</v>
      </c>
      <c r="DZ26" s="15">
        <v>2</v>
      </c>
      <c r="EA26" s="15">
        <v>4</v>
      </c>
      <c r="EB26" s="15">
        <v>4</v>
      </c>
      <c r="EC26" s="15">
        <v>2</v>
      </c>
      <c r="ED26" s="15">
        <v>2</v>
      </c>
      <c r="EE26" s="15">
        <v>3</v>
      </c>
      <c r="EF26" s="15">
        <v>2</v>
      </c>
      <c r="EG26" s="15">
        <v>2</v>
      </c>
      <c r="EH26" s="15">
        <v>4</v>
      </c>
      <c r="EI26" s="15">
        <v>1</v>
      </c>
      <c r="EJ26" s="15">
        <v>5</v>
      </c>
      <c r="EK26" s="15">
        <v>4</v>
      </c>
      <c r="EL26" s="15">
        <v>4</v>
      </c>
      <c r="EM26" s="15">
        <v>2</v>
      </c>
      <c r="EN26" s="15">
        <v>2</v>
      </c>
      <c r="EO26" s="15">
        <v>3</v>
      </c>
      <c r="EP26" s="15">
        <v>3</v>
      </c>
      <c r="EQ26" s="15">
        <v>5</v>
      </c>
      <c r="ER26" s="15">
        <v>2</v>
      </c>
      <c r="ES26" s="15">
        <v>5</v>
      </c>
      <c r="ET26" s="15">
        <v>3</v>
      </c>
      <c r="EU26" s="15">
        <v>1</v>
      </c>
      <c r="EV26" s="15">
        <v>3</v>
      </c>
      <c r="EW26" s="15">
        <v>4</v>
      </c>
      <c r="EX26" s="15">
        <v>4</v>
      </c>
      <c r="EY26" s="15">
        <v>4</v>
      </c>
      <c r="EZ26" s="15">
        <v>3</v>
      </c>
      <c r="FA26" s="15">
        <v>3</v>
      </c>
      <c r="FB26" s="15">
        <v>2</v>
      </c>
      <c r="FC26" s="15">
        <v>3</v>
      </c>
      <c r="FD26" s="15">
        <v>4</v>
      </c>
      <c r="FE26" s="15">
        <v>4</v>
      </c>
      <c r="FF26" s="15">
        <v>3</v>
      </c>
      <c r="FG26" s="15">
        <v>1</v>
      </c>
      <c r="FH26" s="15">
        <v>2</v>
      </c>
      <c r="FI26" s="15">
        <v>3</v>
      </c>
      <c r="FJ26" s="15">
        <v>3</v>
      </c>
      <c r="FK26" s="15">
        <v>2</v>
      </c>
      <c r="FL26" s="15">
        <v>4</v>
      </c>
      <c r="FM26" s="15">
        <v>1</v>
      </c>
      <c r="FN26" s="15">
        <v>4</v>
      </c>
      <c r="FO26" s="15">
        <v>3</v>
      </c>
      <c r="FP26" s="15">
        <v>4</v>
      </c>
      <c r="FQ26" s="15">
        <v>2</v>
      </c>
      <c r="FR26" s="15">
        <v>2</v>
      </c>
      <c r="FS26" s="15">
        <v>3</v>
      </c>
      <c r="FT26" s="15">
        <v>4</v>
      </c>
      <c r="FU26" s="15">
        <v>4</v>
      </c>
      <c r="FV26" s="15">
        <v>4</v>
      </c>
      <c r="FW26" s="15">
        <v>1</v>
      </c>
      <c r="FX26" s="15">
        <v>5</v>
      </c>
      <c r="FY26" s="15">
        <v>4</v>
      </c>
      <c r="FZ26" s="15">
        <v>1</v>
      </c>
      <c r="GA26" s="15">
        <v>1</v>
      </c>
      <c r="GB26" s="15">
        <v>2</v>
      </c>
      <c r="GC26" s="15">
        <v>2</v>
      </c>
      <c r="GD26" s="15">
        <v>2</v>
      </c>
      <c r="GE26" s="15">
        <v>2</v>
      </c>
      <c r="GF26" s="15">
        <v>2</v>
      </c>
      <c r="GG26" s="15">
        <v>2</v>
      </c>
      <c r="GH26" s="15">
        <v>2</v>
      </c>
      <c r="GI26" s="15">
        <v>2</v>
      </c>
      <c r="GJ26" s="15">
        <v>2</v>
      </c>
      <c r="GK26" s="15">
        <v>2</v>
      </c>
      <c r="GL26" s="15">
        <v>1</v>
      </c>
      <c r="GM26" s="15">
        <v>4</v>
      </c>
      <c r="GN26" s="15">
        <v>4</v>
      </c>
      <c r="GO26" s="15">
        <v>2</v>
      </c>
      <c r="GP26" s="15">
        <v>3</v>
      </c>
      <c r="GQ26" s="15">
        <v>2</v>
      </c>
      <c r="GR26" s="15">
        <v>4</v>
      </c>
      <c r="GS26" s="15">
        <v>4</v>
      </c>
      <c r="GT26" s="15">
        <v>2</v>
      </c>
      <c r="GU26" s="15">
        <v>5</v>
      </c>
      <c r="GV26" s="15">
        <v>4</v>
      </c>
      <c r="GW26" s="15">
        <v>2</v>
      </c>
      <c r="GX26" s="15">
        <v>4</v>
      </c>
      <c r="GY26" s="15">
        <v>4</v>
      </c>
      <c r="GZ26" s="15">
        <v>3</v>
      </c>
      <c r="HA26" s="15">
        <v>2</v>
      </c>
      <c r="HB26" s="15">
        <v>4</v>
      </c>
      <c r="HC26" s="15">
        <v>2</v>
      </c>
      <c r="HD26" s="15">
        <v>4</v>
      </c>
      <c r="HE26" s="15">
        <v>2</v>
      </c>
      <c r="HF26" s="15">
        <v>2</v>
      </c>
      <c r="HG26" s="15">
        <v>4</v>
      </c>
      <c r="HH26" s="15">
        <v>2</v>
      </c>
      <c r="HI26" s="15">
        <v>5</v>
      </c>
      <c r="HJ26" s="15">
        <v>3</v>
      </c>
      <c r="HK26" s="15">
        <v>2</v>
      </c>
      <c r="HL26" s="15">
        <v>1</v>
      </c>
      <c r="HM26" s="15">
        <v>5</v>
      </c>
      <c r="HN26" s="15">
        <v>1</v>
      </c>
      <c r="HO26" s="15">
        <v>3</v>
      </c>
      <c r="HP26" s="15">
        <v>1</v>
      </c>
      <c r="HQ26" s="15">
        <v>4</v>
      </c>
      <c r="HR26" s="15">
        <v>2</v>
      </c>
      <c r="HS26" s="15">
        <v>2</v>
      </c>
      <c r="HT26" s="15">
        <v>2</v>
      </c>
      <c r="HU26" s="15">
        <v>1</v>
      </c>
      <c r="HV26" s="15">
        <v>1</v>
      </c>
      <c r="HW26" s="15">
        <v>2.25</v>
      </c>
      <c r="HX26" s="15">
        <v>1.75</v>
      </c>
      <c r="HY26" s="15">
        <v>3.25</v>
      </c>
      <c r="HZ26" s="15">
        <v>4</v>
      </c>
      <c r="IA26" s="15">
        <v>2</v>
      </c>
      <c r="IB26" s="15">
        <v>4.25</v>
      </c>
      <c r="IC26" s="15">
        <v>4.5</v>
      </c>
      <c r="ID26" s="15">
        <v>2.75</v>
      </c>
      <c r="IE26" s="15">
        <v>3.75</v>
      </c>
      <c r="IF26" s="15">
        <v>3.25</v>
      </c>
      <c r="IG26" s="15">
        <v>2.25</v>
      </c>
      <c r="IH26" s="15">
        <v>3.5</v>
      </c>
      <c r="II26" s="15">
        <v>3.75</v>
      </c>
      <c r="IJ26" s="15">
        <v>2.75</v>
      </c>
      <c r="IK26" s="15">
        <v>2</v>
      </c>
      <c r="IL26" s="15">
        <v>2.25</v>
      </c>
      <c r="IM26" s="15">
        <v>2.75</v>
      </c>
      <c r="IN26" s="15">
        <v>2.25</v>
      </c>
      <c r="IO26" s="15">
        <v>4.5</v>
      </c>
      <c r="IP26" s="15">
        <v>3.25</v>
      </c>
      <c r="IQ26" s="15">
        <v>3.5</v>
      </c>
      <c r="IR26" s="15">
        <v>3.25</v>
      </c>
      <c r="IS26" s="15">
        <v>3.5</v>
      </c>
      <c r="IT26" s="15">
        <v>2.75</v>
      </c>
      <c r="IU26" s="15">
        <v>2</v>
      </c>
      <c r="IV26" s="15">
        <v>4.25</v>
      </c>
      <c r="IW26" s="15">
        <v>4</v>
      </c>
      <c r="IX26" s="15">
        <v>3.75</v>
      </c>
      <c r="IY26" s="15">
        <v>4.75</v>
      </c>
      <c r="IZ26" s="15">
        <v>4.25</v>
      </c>
    </row>
    <row r="27" spans="1:260" s="12" customFormat="1" x14ac:dyDescent="0.3">
      <c r="A27" s="15">
        <v>28</v>
      </c>
      <c r="B27" s="15" t="s">
        <v>469</v>
      </c>
      <c r="C27" s="16">
        <v>36</v>
      </c>
      <c r="D27" s="15" t="s">
        <v>288</v>
      </c>
      <c r="E27" s="15" t="s">
        <v>289</v>
      </c>
      <c r="F27" s="15" t="s">
        <v>260</v>
      </c>
      <c r="G27" s="15" t="s">
        <v>268</v>
      </c>
      <c r="H27" s="15" t="s">
        <v>291</v>
      </c>
      <c r="I27" s="15" t="s">
        <v>270</v>
      </c>
      <c r="J27" s="15" t="s">
        <v>338</v>
      </c>
      <c r="K27" s="15" t="s">
        <v>328</v>
      </c>
      <c r="L27" s="15" t="s">
        <v>295</v>
      </c>
      <c r="M27" s="15" t="s">
        <v>296</v>
      </c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>
        <v>1</v>
      </c>
      <c r="AA27" s="15">
        <v>0</v>
      </c>
      <c r="AB27" s="15"/>
      <c r="AC27" s="15">
        <f>1.05</f>
        <v>1.05</v>
      </c>
      <c r="AD27" s="15">
        <v>0</v>
      </c>
      <c r="AE27" s="15">
        <f>2/2</f>
        <v>1</v>
      </c>
      <c r="AF27" s="15">
        <v>6.8698249999999996</v>
      </c>
      <c r="AG27" s="15">
        <v>0</v>
      </c>
      <c r="AH27" s="15">
        <v>0</v>
      </c>
      <c r="AI27" s="15"/>
      <c r="AJ27" s="15"/>
      <c r="AK27" s="15">
        <v>2</v>
      </c>
      <c r="AL27" s="15">
        <f>1/8</f>
        <v>0.125</v>
      </c>
      <c r="AM27" s="15"/>
      <c r="AN27" s="15">
        <f>1.1*2</f>
        <v>2.2000000000000002</v>
      </c>
      <c r="AO27" s="15">
        <v>0</v>
      </c>
      <c r="AP27" s="15">
        <f>3/3</f>
        <v>1</v>
      </c>
      <c r="AQ27" s="15">
        <v>7.944426</v>
      </c>
      <c r="AR27" s="15">
        <v>5.5E-2</v>
      </c>
      <c r="AS27" s="15">
        <v>0</v>
      </c>
      <c r="AT27" s="15"/>
      <c r="AU27" s="15"/>
      <c r="AV27" s="15"/>
      <c r="AW27" s="15"/>
      <c r="AX27" s="15"/>
      <c r="AY27" s="15"/>
      <c r="AZ27" s="15">
        <v>0</v>
      </c>
      <c r="BA27" s="15">
        <f t="shared" si="6"/>
        <v>1</v>
      </c>
      <c r="BB27" s="15">
        <v>6.3588829999999996</v>
      </c>
      <c r="BC27" s="15">
        <v>0</v>
      </c>
      <c r="BD27" s="15">
        <v>0</v>
      </c>
      <c r="BE27" s="15"/>
      <c r="BF27" s="15"/>
      <c r="BG27" s="15"/>
      <c r="BH27" s="15"/>
      <c r="BI27" s="15"/>
      <c r="BJ27" s="15"/>
      <c r="BK27" s="15">
        <v>0</v>
      </c>
      <c r="BL27" s="15">
        <f t="shared" ref="BL27:BL41" si="7">2/2</f>
        <v>1</v>
      </c>
      <c r="BM27" s="15">
        <v>12.837522999999999</v>
      </c>
      <c r="BN27" s="15">
        <f>0</f>
        <v>0</v>
      </c>
      <c r="BO27" s="15"/>
      <c r="BP27" s="15"/>
      <c r="BQ27" s="15"/>
      <c r="BR27" s="15"/>
      <c r="BS27" s="15">
        <v>0</v>
      </c>
      <c r="BT27" s="15">
        <f>2/2</f>
        <v>1</v>
      </c>
      <c r="BU27" s="15">
        <v>13.059723</v>
      </c>
      <c r="BV27" s="15">
        <v>0</v>
      </c>
      <c r="BW27" s="15">
        <v>0</v>
      </c>
      <c r="BX27" s="15"/>
      <c r="BY27" s="15"/>
      <c r="BZ27" s="15">
        <v>1</v>
      </c>
      <c r="CA27" s="15">
        <v>0</v>
      </c>
      <c r="CB27" s="15"/>
      <c r="CC27" s="15">
        <f>1.05</f>
        <v>1.05</v>
      </c>
      <c r="CD27" s="15">
        <v>0</v>
      </c>
      <c r="CE27" s="15">
        <f>2/2</f>
        <v>1</v>
      </c>
      <c r="CF27" s="15">
        <v>12.097588999999999</v>
      </c>
      <c r="CG27" s="15">
        <v>7.4999999999999997E-3</v>
      </c>
      <c r="CH27" s="15">
        <v>0</v>
      </c>
      <c r="CI27" s="15"/>
      <c r="CJ27" s="15"/>
      <c r="CK27" s="15">
        <f t="shared" si="0"/>
        <v>59.167968999999992</v>
      </c>
      <c r="CL27" s="15">
        <f>3/8</f>
        <v>0.375</v>
      </c>
      <c r="CM27" s="15">
        <v>1</v>
      </c>
      <c r="CN27" s="15">
        <v>0</v>
      </c>
      <c r="CO27" s="15">
        <v>0</v>
      </c>
      <c r="CP27" s="15">
        <v>0</v>
      </c>
      <c r="CQ27" s="15">
        <v>0</v>
      </c>
      <c r="CR27" s="15">
        <v>0.35416666666666669</v>
      </c>
      <c r="CS27" s="15">
        <v>0.5</v>
      </c>
      <c r="CT27" s="15">
        <v>0</v>
      </c>
      <c r="CU27" s="15">
        <v>148</v>
      </c>
      <c r="CV27" s="15">
        <v>550</v>
      </c>
      <c r="CW27" s="15">
        <v>0</v>
      </c>
      <c r="CX27" s="15"/>
      <c r="CY27" s="15"/>
      <c r="CZ27" s="15"/>
      <c r="DA27" s="15"/>
      <c r="DB27" s="15"/>
      <c r="DC27" s="15"/>
      <c r="DD27" s="15">
        <v>0</v>
      </c>
      <c r="DE27" s="15">
        <v>0</v>
      </c>
      <c r="DF27" s="15">
        <v>5</v>
      </c>
      <c r="DG27" s="15">
        <v>4</v>
      </c>
      <c r="DH27" s="15">
        <v>5</v>
      </c>
      <c r="DI27" s="15">
        <v>3</v>
      </c>
      <c r="DJ27" s="15">
        <v>4</v>
      </c>
      <c r="DK27" s="15">
        <v>2</v>
      </c>
      <c r="DL27" s="15">
        <v>3</v>
      </c>
      <c r="DM27" s="15">
        <v>4</v>
      </c>
      <c r="DN27" s="15">
        <v>1</v>
      </c>
      <c r="DO27" s="15">
        <v>5</v>
      </c>
      <c r="DP27" s="15">
        <v>2</v>
      </c>
      <c r="DQ27" s="15">
        <v>5</v>
      </c>
      <c r="DR27" s="15">
        <v>4</v>
      </c>
      <c r="DS27" s="15">
        <v>5</v>
      </c>
      <c r="DT27" s="15">
        <v>5</v>
      </c>
      <c r="DU27" s="15">
        <v>1</v>
      </c>
      <c r="DV27" s="15">
        <v>4</v>
      </c>
      <c r="DW27" s="15">
        <v>3</v>
      </c>
      <c r="DX27" s="15">
        <v>1</v>
      </c>
      <c r="DY27" s="15">
        <v>5</v>
      </c>
      <c r="DZ27" s="15">
        <v>3</v>
      </c>
      <c r="EA27" s="15">
        <v>4</v>
      </c>
      <c r="EB27" s="15">
        <v>4</v>
      </c>
      <c r="EC27" s="15">
        <v>1</v>
      </c>
      <c r="ED27" s="15">
        <v>4</v>
      </c>
      <c r="EE27" s="15">
        <v>1</v>
      </c>
      <c r="EF27" s="15">
        <v>4</v>
      </c>
      <c r="EG27" s="15">
        <v>3</v>
      </c>
      <c r="EH27" s="15">
        <v>5</v>
      </c>
      <c r="EI27" s="15">
        <v>2</v>
      </c>
      <c r="EJ27" s="15">
        <v>3</v>
      </c>
      <c r="EK27" s="15">
        <v>4</v>
      </c>
      <c r="EL27" s="15">
        <v>4</v>
      </c>
      <c r="EM27" s="15">
        <v>3</v>
      </c>
      <c r="EN27" s="15">
        <v>2</v>
      </c>
      <c r="EO27" s="15">
        <v>2</v>
      </c>
      <c r="EP27" s="15">
        <v>3</v>
      </c>
      <c r="EQ27" s="15">
        <v>4</v>
      </c>
      <c r="ER27" s="15">
        <v>1</v>
      </c>
      <c r="ES27" s="15">
        <v>1</v>
      </c>
      <c r="ET27" s="15">
        <v>1</v>
      </c>
      <c r="EU27" s="15">
        <v>4</v>
      </c>
      <c r="EV27" s="15">
        <v>4</v>
      </c>
      <c r="EW27" s="15">
        <v>5</v>
      </c>
      <c r="EX27" s="15">
        <v>5</v>
      </c>
      <c r="EY27" s="15">
        <v>1</v>
      </c>
      <c r="EZ27" s="15">
        <v>4</v>
      </c>
      <c r="FA27" s="15">
        <v>2</v>
      </c>
      <c r="FB27" s="15">
        <v>1</v>
      </c>
      <c r="FC27" s="15">
        <v>5</v>
      </c>
      <c r="FD27" s="15">
        <v>2</v>
      </c>
      <c r="FE27" s="15">
        <v>4</v>
      </c>
      <c r="FF27" s="15">
        <v>4</v>
      </c>
      <c r="FG27" s="15">
        <v>3</v>
      </c>
      <c r="FH27" s="15">
        <v>5</v>
      </c>
      <c r="FI27" s="15">
        <v>3</v>
      </c>
      <c r="FJ27" s="15">
        <v>4</v>
      </c>
      <c r="FK27" s="15">
        <v>5</v>
      </c>
      <c r="FL27" s="15">
        <v>5</v>
      </c>
      <c r="FM27" s="15">
        <v>2</v>
      </c>
      <c r="FN27" s="15">
        <v>2</v>
      </c>
      <c r="FO27" s="15">
        <v>1</v>
      </c>
      <c r="FP27" s="15">
        <v>4</v>
      </c>
      <c r="FQ27" s="15">
        <v>3</v>
      </c>
      <c r="FR27" s="15">
        <v>4</v>
      </c>
      <c r="FS27" s="15">
        <v>2</v>
      </c>
      <c r="FT27" s="15">
        <v>3</v>
      </c>
      <c r="FU27" s="15">
        <v>2</v>
      </c>
      <c r="FV27" s="15">
        <v>4</v>
      </c>
      <c r="FW27" s="15">
        <v>1</v>
      </c>
      <c r="FX27" s="15">
        <v>2</v>
      </c>
      <c r="FY27" s="15">
        <v>2</v>
      </c>
      <c r="FZ27" s="15">
        <v>4</v>
      </c>
      <c r="GA27" s="15">
        <v>1</v>
      </c>
      <c r="GB27" s="15">
        <v>1</v>
      </c>
      <c r="GC27" s="15">
        <v>2</v>
      </c>
      <c r="GD27" s="15">
        <v>3</v>
      </c>
      <c r="GE27" s="15">
        <v>5</v>
      </c>
      <c r="GF27" s="15">
        <v>3</v>
      </c>
      <c r="GG27" s="15">
        <v>1</v>
      </c>
      <c r="GH27" s="15">
        <v>1</v>
      </c>
      <c r="GI27" s="15">
        <v>3</v>
      </c>
      <c r="GJ27" s="15">
        <v>3</v>
      </c>
      <c r="GK27" s="15">
        <v>2</v>
      </c>
      <c r="GL27" s="15">
        <v>1</v>
      </c>
      <c r="GM27" s="15">
        <v>2</v>
      </c>
      <c r="GN27" s="15">
        <v>1</v>
      </c>
      <c r="GO27" s="15">
        <v>5</v>
      </c>
      <c r="GP27" s="15">
        <v>3</v>
      </c>
      <c r="GQ27" s="15">
        <v>1</v>
      </c>
      <c r="GR27" s="15">
        <v>1</v>
      </c>
      <c r="GS27" s="15">
        <v>3</v>
      </c>
      <c r="GT27" s="15">
        <v>2</v>
      </c>
      <c r="GU27" s="15">
        <v>3</v>
      </c>
      <c r="GV27" s="15">
        <v>3</v>
      </c>
      <c r="GW27" s="15">
        <v>3</v>
      </c>
      <c r="GX27" s="15">
        <v>1</v>
      </c>
      <c r="GY27" s="15">
        <v>3</v>
      </c>
      <c r="GZ27" s="15">
        <v>1</v>
      </c>
      <c r="HA27" s="15">
        <v>1</v>
      </c>
      <c r="HB27" s="15">
        <v>2</v>
      </c>
      <c r="HC27" s="15">
        <v>5</v>
      </c>
      <c r="HD27" s="15">
        <v>2</v>
      </c>
      <c r="HE27" s="15">
        <v>1</v>
      </c>
      <c r="HF27" s="15">
        <v>1</v>
      </c>
      <c r="HG27" s="15">
        <v>1</v>
      </c>
      <c r="HH27" s="15">
        <v>1</v>
      </c>
      <c r="HI27" s="15">
        <v>3</v>
      </c>
      <c r="HJ27" s="15">
        <v>3</v>
      </c>
      <c r="HK27" s="15">
        <v>1</v>
      </c>
      <c r="HL27" s="15">
        <v>1</v>
      </c>
      <c r="HM27" s="15">
        <v>3</v>
      </c>
      <c r="HN27" s="15">
        <v>1</v>
      </c>
      <c r="HO27" s="15">
        <v>2</v>
      </c>
      <c r="HP27" s="15">
        <v>1</v>
      </c>
      <c r="HQ27" s="15">
        <v>2</v>
      </c>
      <c r="HR27" s="15">
        <v>3</v>
      </c>
      <c r="HS27" s="15">
        <v>4</v>
      </c>
      <c r="HT27" s="15">
        <v>4</v>
      </c>
      <c r="HU27" s="15">
        <v>1</v>
      </c>
      <c r="HV27" s="15">
        <v>1</v>
      </c>
      <c r="HW27" s="15">
        <v>3.25</v>
      </c>
      <c r="HX27" s="15">
        <v>4.5</v>
      </c>
      <c r="HY27" s="15">
        <v>4.75</v>
      </c>
      <c r="HZ27" s="15">
        <v>5</v>
      </c>
      <c r="IA27" s="15">
        <v>4.25</v>
      </c>
      <c r="IB27" s="15">
        <v>4.5</v>
      </c>
      <c r="IC27" s="15">
        <v>3.25</v>
      </c>
      <c r="ID27" s="15">
        <v>2.75</v>
      </c>
      <c r="IE27" s="15">
        <v>1.5</v>
      </c>
      <c r="IF27" s="15">
        <v>2.5</v>
      </c>
      <c r="IG27" s="15">
        <v>3.25</v>
      </c>
      <c r="IH27" s="15">
        <v>2</v>
      </c>
      <c r="II27" s="15">
        <v>4.25</v>
      </c>
      <c r="IJ27" s="15">
        <v>3</v>
      </c>
      <c r="IK27" s="15">
        <v>4.25</v>
      </c>
      <c r="IL27" s="15">
        <v>4</v>
      </c>
      <c r="IM27" s="15">
        <v>3</v>
      </c>
      <c r="IN27" s="15">
        <v>4.25</v>
      </c>
      <c r="IO27" s="15">
        <v>4</v>
      </c>
      <c r="IP27" s="15">
        <v>4.25</v>
      </c>
      <c r="IQ27" s="15">
        <v>4.5</v>
      </c>
      <c r="IR27" s="15">
        <v>3.25</v>
      </c>
      <c r="IS27" s="15">
        <v>3.5</v>
      </c>
      <c r="IT27" s="15">
        <v>3.25</v>
      </c>
      <c r="IU27" s="15">
        <v>3</v>
      </c>
      <c r="IV27" s="15">
        <v>5</v>
      </c>
      <c r="IW27" s="15">
        <v>5</v>
      </c>
      <c r="IX27" s="15">
        <v>5</v>
      </c>
      <c r="IY27" s="15">
        <v>4.5</v>
      </c>
      <c r="IZ27" s="15">
        <v>5</v>
      </c>
    </row>
    <row r="28" spans="1:260" s="12" customFormat="1" x14ac:dyDescent="0.3">
      <c r="A28" s="15">
        <v>29</v>
      </c>
      <c r="B28" s="15" t="s">
        <v>468</v>
      </c>
      <c r="C28" s="16">
        <v>50</v>
      </c>
      <c r="D28" s="15" t="s">
        <v>288</v>
      </c>
      <c r="E28" s="15" t="s">
        <v>289</v>
      </c>
      <c r="F28" s="15" t="s">
        <v>260</v>
      </c>
      <c r="G28" s="15" t="s">
        <v>268</v>
      </c>
      <c r="H28" s="15" t="s">
        <v>291</v>
      </c>
      <c r="I28" s="15" t="s">
        <v>270</v>
      </c>
      <c r="J28" s="15" t="s">
        <v>339</v>
      </c>
      <c r="K28" s="15" t="s">
        <v>285</v>
      </c>
      <c r="L28" s="15" t="s">
        <v>281</v>
      </c>
      <c r="M28" s="15" t="s">
        <v>293</v>
      </c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>
        <v>8</v>
      </c>
      <c r="AA28" s="15">
        <f>1/5</f>
        <v>0.2</v>
      </c>
      <c r="AB28" s="15"/>
      <c r="AC28" s="15">
        <f>1.05*8</f>
        <v>8.4</v>
      </c>
      <c r="AD28" s="15">
        <v>0</v>
      </c>
      <c r="AE28" s="15">
        <f>2/2</f>
        <v>1</v>
      </c>
      <c r="AF28" s="15">
        <v>34.507726999999996</v>
      </c>
      <c r="AG28" s="15">
        <v>0</v>
      </c>
      <c r="AH28" s="15">
        <v>0</v>
      </c>
      <c r="AI28" s="15"/>
      <c r="AJ28" s="15"/>
      <c r="AK28" s="15"/>
      <c r="AL28" s="15"/>
      <c r="AM28" s="15"/>
      <c r="AN28" s="15"/>
      <c r="AO28" s="15">
        <v>0</v>
      </c>
      <c r="AP28" s="15">
        <f>3/3</f>
        <v>1</v>
      </c>
      <c r="AQ28" s="15">
        <v>34.507726999999996</v>
      </c>
      <c r="AR28" s="15">
        <v>0.05</v>
      </c>
      <c r="AS28" s="15">
        <v>0</v>
      </c>
      <c r="AT28" s="15"/>
      <c r="AU28" s="15"/>
      <c r="AV28" s="15"/>
      <c r="AW28" s="15"/>
      <c r="AX28" s="15"/>
      <c r="AY28" s="15"/>
      <c r="AZ28" s="15">
        <v>0</v>
      </c>
      <c r="BA28" s="15">
        <f t="shared" si="6"/>
        <v>1</v>
      </c>
      <c r="BB28" s="15">
        <v>13.572184</v>
      </c>
      <c r="BC28" s="15">
        <v>0</v>
      </c>
      <c r="BD28" s="15">
        <v>0</v>
      </c>
      <c r="BE28" s="15"/>
      <c r="BF28" s="15"/>
      <c r="BG28" s="15"/>
      <c r="BH28" s="15"/>
      <c r="BI28" s="15"/>
      <c r="BJ28" s="15"/>
      <c r="BK28" s="15">
        <v>0</v>
      </c>
      <c r="BL28" s="15">
        <f t="shared" si="7"/>
        <v>1</v>
      </c>
      <c r="BM28" s="15">
        <v>9.5189369999999993</v>
      </c>
      <c r="BN28" s="15">
        <v>0</v>
      </c>
      <c r="BO28" s="15">
        <v>3</v>
      </c>
      <c r="BP28" s="15">
        <f>5/5</f>
        <v>1</v>
      </c>
      <c r="BQ28" s="15">
        <v>23.036047999999997</v>
      </c>
      <c r="BR28" s="15">
        <f>1.05*3</f>
        <v>3.1500000000000004</v>
      </c>
      <c r="BS28" s="15"/>
      <c r="BT28" s="15"/>
      <c r="BU28" s="15"/>
      <c r="BV28" s="15"/>
      <c r="BW28" s="15">
        <v>1</v>
      </c>
      <c r="BX28" s="15">
        <v>1</v>
      </c>
      <c r="BY28" s="15">
        <v>0</v>
      </c>
      <c r="BZ28" s="15">
        <v>0</v>
      </c>
      <c r="CA28" s="15">
        <f>3/5</f>
        <v>0.6</v>
      </c>
      <c r="CB28" s="15">
        <v>14.881926999999999</v>
      </c>
      <c r="CC28" s="15">
        <v>0</v>
      </c>
      <c r="CD28" s="15"/>
      <c r="CE28" s="15"/>
      <c r="CF28" s="15"/>
      <c r="CG28" s="15"/>
      <c r="CH28" s="15">
        <v>0</v>
      </c>
      <c r="CI28" s="15"/>
      <c r="CJ28" s="15"/>
      <c r="CK28" s="15">
        <f t="shared" si="0"/>
        <v>130.02454999999998</v>
      </c>
      <c r="CL28" s="15">
        <f>3/8</f>
        <v>0.375</v>
      </c>
      <c r="CM28" s="15">
        <v>2</v>
      </c>
      <c r="CN28" s="15">
        <f t="shared" ref="CN28:CO30" si="8">1/5</f>
        <v>0.2</v>
      </c>
      <c r="CO28" s="15">
        <f t="shared" si="8"/>
        <v>0.2</v>
      </c>
      <c r="CP28" s="15">
        <v>0</v>
      </c>
      <c r="CQ28" s="15">
        <v>0</v>
      </c>
      <c r="CR28" s="15">
        <v>0.97916666666666663</v>
      </c>
      <c r="CS28" s="15">
        <v>0.99090909090909096</v>
      </c>
      <c r="CT28" s="15">
        <v>3</v>
      </c>
      <c r="CU28" s="15">
        <v>469</v>
      </c>
      <c r="CV28" s="15">
        <v>1112</v>
      </c>
      <c r="CW28" s="15">
        <v>1</v>
      </c>
      <c r="CX28" s="15"/>
      <c r="CY28" s="15"/>
      <c r="CZ28" s="15"/>
      <c r="DA28" s="15"/>
      <c r="DB28" s="15"/>
      <c r="DC28" s="15"/>
      <c r="DD28" s="15">
        <v>0</v>
      </c>
      <c r="DE28" s="15">
        <v>0</v>
      </c>
      <c r="DF28" s="15">
        <v>5</v>
      </c>
      <c r="DG28" s="15">
        <v>4</v>
      </c>
      <c r="DH28" s="15">
        <v>4</v>
      </c>
      <c r="DI28" s="15">
        <v>3</v>
      </c>
      <c r="DJ28" s="15">
        <v>4</v>
      </c>
      <c r="DK28" s="15">
        <v>3</v>
      </c>
      <c r="DL28" s="15">
        <v>3</v>
      </c>
      <c r="DM28" s="15">
        <v>5</v>
      </c>
      <c r="DN28" s="15">
        <v>1</v>
      </c>
      <c r="DO28" s="15">
        <v>3</v>
      </c>
      <c r="DP28" s="15">
        <v>4</v>
      </c>
      <c r="DQ28" s="15">
        <v>4</v>
      </c>
      <c r="DR28" s="15">
        <v>4</v>
      </c>
      <c r="DS28" s="15">
        <v>5</v>
      </c>
      <c r="DT28" s="15">
        <v>5</v>
      </c>
      <c r="DU28" s="15">
        <v>3</v>
      </c>
      <c r="DV28" s="15">
        <v>4</v>
      </c>
      <c r="DW28" s="15">
        <v>4</v>
      </c>
      <c r="DX28" s="15">
        <v>1</v>
      </c>
      <c r="DY28" s="15">
        <v>4</v>
      </c>
      <c r="DZ28" s="15">
        <v>5</v>
      </c>
      <c r="EA28" s="15">
        <v>4</v>
      </c>
      <c r="EB28" s="15">
        <v>5</v>
      </c>
      <c r="EC28" s="15">
        <v>1</v>
      </c>
      <c r="ED28" s="15">
        <v>1</v>
      </c>
      <c r="EE28" s="15">
        <v>4</v>
      </c>
      <c r="EF28" s="15">
        <v>4</v>
      </c>
      <c r="EG28" s="15">
        <v>3</v>
      </c>
      <c r="EH28" s="15">
        <v>4</v>
      </c>
      <c r="EI28" s="15">
        <v>2</v>
      </c>
      <c r="EJ28" s="15">
        <v>5</v>
      </c>
      <c r="EK28" s="15">
        <v>3</v>
      </c>
      <c r="EL28" s="15">
        <v>1</v>
      </c>
      <c r="EM28" s="15">
        <v>2</v>
      </c>
      <c r="EN28" s="15">
        <v>3</v>
      </c>
      <c r="EO28" s="15">
        <v>3</v>
      </c>
      <c r="EP28" s="15">
        <v>4</v>
      </c>
      <c r="EQ28" s="15">
        <v>4</v>
      </c>
      <c r="ER28" s="15">
        <v>1</v>
      </c>
      <c r="ES28" s="15">
        <v>4</v>
      </c>
      <c r="ET28" s="15">
        <v>2</v>
      </c>
      <c r="EU28" s="15">
        <v>1</v>
      </c>
      <c r="EV28" s="15">
        <v>4</v>
      </c>
      <c r="EW28" s="15">
        <v>5</v>
      </c>
      <c r="EX28" s="15">
        <v>5</v>
      </c>
      <c r="EY28" s="15">
        <v>3</v>
      </c>
      <c r="EZ28" s="15">
        <v>3</v>
      </c>
      <c r="FA28" s="15">
        <v>3</v>
      </c>
      <c r="FB28" s="15">
        <v>3</v>
      </c>
      <c r="FC28" s="15">
        <v>3</v>
      </c>
      <c r="FD28" s="15">
        <v>3</v>
      </c>
      <c r="FE28" s="15">
        <v>4</v>
      </c>
      <c r="FF28" s="15">
        <v>4</v>
      </c>
      <c r="FG28" s="15">
        <v>2</v>
      </c>
      <c r="FH28" s="15">
        <v>3</v>
      </c>
      <c r="FI28" s="15">
        <v>3</v>
      </c>
      <c r="FJ28" s="15">
        <v>3</v>
      </c>
      <c r="FK28" s="15">
        <v>4</v>
      </c>
      <c r="FL28" s="15">
        <v>4</v>
      </c>
      <c r="FM28" s="15">
        <v>2</v>
      </c>
      <c r="FN28" s="15">
        <v>4</v>
      </c>
      <c r="FO28" s="15">
        <v>3</v>
      </c>
      <c r="FP28" s="15">
        <v>3</v>
      </c>
      <c r="FQ28" s="15">
        <v>3</v>
      </c>
      <c r="FR28" s="15">
        <v>3</v>
      </c>
      <c r="FS28" s="15">
        <v>3</v>
      </c>
      <c r="FT28" s="15">
        <v>3</v>
      </c>
      <c r="FU28" s="15">
        <v>2</v>
      </c>
      <c r="FV28" s="15">
        <v>1</v>
      </c>
      <c r="FW28" s="15">
        <v>1</v>
      </c>
      <c r="FX28" s="15">
        <v>4</v>
      </c>
      <c r="FY28" s="15">
        <v>4</v>
      </c>
      <c r="FZ28" s="15">
        <v>4</v>
      </c>
      <c r="GA28" s="15">
        <v>2</v>
      </c>
      <c r="GB28" s="15">
        <v>1</v>
      </c>
      <c r="GC28" s="15">
        <v>2</v>
      </c>
      <c r="GD28" s="15">
        <v>4</v>
      </c>
      <c r="GE28" s="15">
        <v>3</v>
      </c>
      <c r="GF28" s="15">
        <v>2</v>
      </c>
      <c r="GG28" s="15">
        <v>1</v>
      </c>
      <c r="GH28" s="15">
        <v>2</v>
      </c>
      <c r="GI28" s="15">
        <v>2</v>
      </c>
      <c r="GJ28" s="15">
        <v>4</v>
      </c>
      <c r="GK28" s="15">
        <v>2</v>
      </c>
      <c r="GL28" s="15">
        <v>2</v>
      </c>
      <c r="GM28" s="15">
        <v>3</v>
      </c>
      <c r="GN28" s="15">
        <v>3</v>
      </c>
      <c r="GO28" s="15">
        <v>3</v>
      </c>
      <c r="GP28" s="15">
        <v>2</v>
      </c>
      <c r="GQ28" s="15">
        <v>2</v>
      </c>
      <c r="GR28" s="15">
        <v>2</v>
      </c>
      <c r="GS28" s="15">
        <v>3</v>
      </c>
      <c r="GT28" s="15">
        <v>2</v>
      </c>
      <c r="GU28" s="15">
        <v>4</v>
      </c>
      <c r="GV28" s="15">
        <v>3</v>
      </c>
      <c r="GW28" s="15">
        <v>3</v>
      </c>
      <c r="GX28" s="15">
        <v>2</v>
      </c>
      <c r="GY28" s="15">
        <v>2</v>
      </c>
      <c r="GZ28" s="15">
        <v>2</v>
      </c>
      <c r="HA28" s="15">
        <v>2</v>
      </c>
      <c r="HB28" s="15">
        <v>4</v>
      </c>
      <c r="HC28" s="15">
        <v>4</v>
      </c>
      <c r="HD28" s="15">
        <v>3</v>
      </c>
      <c r="HE28" s="15">
        <v>2</v>
      </c>
      <c r="HF28" s="15">
        <v>2</v>
      </c>
      <c r="HG28" s="15">
        <v>1</v>
      </c>
      <c r="HH28" s="15">
        <v>2</v>
      </c>
      <c r="HI28" s="15">
        <v>4</v>
      </c>
      <c r="HJ28" s="15">
        <v>2</v>
      </c>
      <c r="HK28" s="15">
        <v>2</v>
      </c>
      <c r="HL28" s="15">
        <v>2</v>
      </c>
      <c r="HM28" s="15">
        <v>4</v>
      </c>
      <c r="HN28" s="15">
        <v>2</v>
      </c>
      <c r="HO28" s="15">
        <v>3</v>
      </c>
      <c r="HP28" s="15">
        <v>1</v>
      </c>
      <c r="HQ28" s="15">
        <v>3</v>
      </c>
      <c r="HR28" s="15">
        <v>3</v>
      </c>
      <c r="HS28" s="15">
        <v>3</v>
      </c>
      <c r="HT28" s="15">
        <v>4</v>
      </c>
      <c r="HU28" s="15">
        <v>1</v>
      </c>
      <c r="HV28" s="15">
        <v>3</v>
      </c>
      <c r="HW28" s="15">
        <v>3.25</v>
      </c>
      <c r="HX28" s="15">
        <v>2.25</v>
      </c>
      <c r="HY28" s="15">
        <v>4.75</v>
      </c>
      <c r="HZ28" s="15">
        <v>3.75</v>
      </c>
      <c r="IA28" s="15">
        <v>2.5</v>
      </c>
      <c r="IB28" s="15">
        <v>3.75</v>
      </c>
      <c r="IC28" s="15">
        <v>4.25</v>
      </c>
      <c r="ID28" s="15">
        <v>3.25</v>
      </c>
      <c r="IE28" s="15">
        <v>3</v>
      </c>
      <c r="IF28" s="15">
        <v>3.5</v>
      </c>
      <c r="IG28" s="15">
        <v>3.5</v>
      </c>
      <c r="IH28" s="15">
        <v>3.25</v>
      </c>
      <c r="II28" s="15">
        <v>3.5</v>
      </c>
      <c r="IJ28" s="15">
        <v>3.5</v>
      </c>
      <c r="IK28" s="15">
        <v>3</v>
      </c>
      <c r="IL28" s="15">
        <v>3</v>
      </c>
      <c r="IM28" s="15">
        <v>3.5</v>
      </c>
      <c r="IN28" s="15">
        <v>3.25</v>
      </c>
      <c r="IO28" s="15">
        <v>3</v>
      </c>
      <c r="IP28" s="15">
        <v>4.25</v>
      </c>
      <c r="IQ28" s="15">
        <v>4</v>
      </c>
      <c r="IR28" s="15">
        <v>3.75</v>
      </c>
      <c r="IS28" s="15">
        <v>3.5</v>
      </c>
      <c r="IT28" s="15">
        <v>3.25</v>
      </c>
      <c r="IU28" s="15">
        <v>2.75</v>
      </c>
      <c r="IV28" s="15">
        <v>4.75</v>
      </c>
      <c r="IW28" s="15">
        <v>4.75</v>
      </c>
      <c r="IX28" s="15">
        <v>4.25</v>
      </c>
      <c r="IY28" s="15">
        <v>4.5</v>
      </c>
      <c r="IZ28" s="15">
        <v>4.25</v>
      </c>
    </row>
    <row r="29" spans="1:260" s="12" customFormat="1" x14ac:dyDescent="0.3">
      <c r="A29" s="15">
        <v>30</v>
      </c>
      <c r="B29" s="15" t="s">
        <v>469</v>
      </c>
      <c r="C29" s="16">
        <v>32</v>
      </c>
      <c r="D29" s="15" t="s">
        <v>288</v>
      </c>
      <c r="E29" s="15" t="s">
        <v>289</v>
      </c>
      <c r="F29" s="15" t="s">
        <v>290</v>
      </c>
      <c r="G29" s="15" t="s">
        <v>283</v>
      </c>
      <c r="H29" s="15" t="s">
        <v>340</v>
      </c>
      <c r="I29" s="15" t="s">
        <v>270</v>
      </c>
      <c r="J29" s="15" t="s">
        <v>341</v>
      </c>
      <c r="K29" s="15" t="s">
        <v>342</v>
      </c>
      <c r="L29" s="15" t="s">
        <v>343</v>
      </c>
      <c r="M29" s="15" t="s">
        <v>344</v>
      </c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>
        <v>1</v>
      </c>
      <c r="AA29" s="15">
        <f>1/5</f>
        <v>0.2</v>
      </c>
      <c r="AB29" s="15"/>
      <c r="AC29" s="15">
        <f>1.05</f>
        <v>1.05</v>
      </c>
      <c r="AD29" s="15">
        <v>0</v>
      </c>
      <c r="AE29" s="15">
        <f>2/2</f>
        <v>1</v>
      </c>
      <c r="AF29" s="15">
        <v>9</v>
      </c>
      <c r="AG29" s="15">
        <v>0</v>
      </c>
      <c r="AH29" s="15">
        <v>0</v>
      </c>
      <c r="AI29" s="15"/>
      <c r="AJ29" s="15"/>
      <c r="AK29" s="15">
        <v>4</v>
      </c>
      <c r="AL29" s="15">
        <f>2/8</f>
        <v>0.25</v>
      </c>
      <c r="AM29" s="15"/>
      <c r="AN29" s="15">
        <v>4.4000000000000004</v>
      </c>
      <c r="AO29" s="15">
        <v>0</v>
      </c>
      <c r="AP29" s="15">
        <f>1/3</f>
        <v>0.33333333333333331</v>
      </c>
      <c r="AQ29" s="15">
        <v>27</v>
      </c>
      <c r="AR29" s="15">
        <v>0.32</v>
      </c>
      <c r="AS29" s="15">
        <v>0</v>
      </c>
      <c r="AT29" s="15"/>
      <c r="AU29" s="15"/>
      <c r="AV29" s="15"/>
      <c r="AW29" s="15"/>
      <c r="AX29" s="15"/>
      <c r="AY29" s="15"/>
      <c r="AZ29" s="15">
        <v>0</v>
      </c>
      <c r="BA29" s="15">
        <f t="shared" si="6"/>
        <v>1</v>
      </c>
      <c r="BB29" s="15">
        <v>11</v>
      </c>
      <c r="BC29" s="15">
        <v>0</v>
      </c>
      <c r="BD29" s="15">
        <v>0</v>
      </c>
      <c r="BE29" s="15"/>
      <c r="BF29" s="15"/>
      <c r="BG29" s="15"/>
      <c r="BH29" s="15"/>
      <c r="BI29" s="15"/>
      <c r="BJ29" s="15"/>
      <c r="BK29" s="15">
        <v>0</v>
      </c>
      <c r="BL29" s="15">
        <f t="shared" si="7"/>
        <v>1</v>
      </c>
      <c r="BM29" s="15">
        <v>36</v>
      </c>
      <c r="BN29" s="15">
        <v>0</v>
      </c>
      <c r="BO29" s="15"/>
      <c r="BP29" s="15"/>
      <c r="BQ29" s="15"/>
      <c r="BR29" s="15"/>
      <c r="BS29" s="15">
        <v>0</v>
      </c>
      <c r="BT29" s="15">
        <f t="shared" ref="BT29:BT37" si="9">2/2</f>
        <v>1</v>
      </c>
      <c r="BU29" s="15">
        <v>16</v>
      </c>
      <c r="BV29" s="15">
        <v>0</v>
      </c>
      <c r="BW29" s="15">
        <v>1</v>
      </c>
      <c r="BX29" s="15">
        <v>1</v>
      </c>
      <c r="BY29" s="15">
        <f>2/6</f>
        <v>0.33333333333333331</v>
      </c>
      <c r="BZ29" s="15"/>
      <c r="CA29" s="15"/>
      <c r="CB29" s="15"/>
      <c r="CC29" s="15"/>
      <c r="CD29" s="15">
        <v>0</v>
      </c>
      <c r="CE29" s="15">
        <f>2/2</f>
        <v>1</v>
      </c>
      <c r="CF29" s="15">
        <v>17.878440000000001</v>
      </c>
      <c r="CG29" s="15">
        <v>6.5000000000000002E-2</v>
      </c>
      <c r="CH29" s="15">
        <v>0</v>
      </c>
      <c r="CI29" s="15"/>
      <c r="CJ29" s="15"/>
      <c r="CK29" s="15">
        <f t="shared" si="0"/>
        <v>116.87844</v>
      </c>
      <c r="CL29" s="15">
        <f>2/8</f>
        <v>0.25</v>
      </c>
      <c r="CM29" s="15">
        <v>2</v>
      </c>
      <c r="CN29" s="15">
        <f t="shared" si="8"/>
        <v>0.2</v>
      </c>
      <c r="CO29" s="15">
        <f t="shared" si="8"/>
        <v>0.2</v>
      </c>
      <c r="CP29" s="15">
        <v>0</v>
      </c>
      <c r="CQ29" s="15">
        <v>0</v>
      </c>
      <c r="CR29" s="15">
        <v>6.25E-2</v>
      </c>
      <c r="CS29" s="15">
        <v>0.33636363636363636</v>
      </c>
      <c r="CT29" s="15">
        <v>0</v>
      </c>
      <c r="CU29" s="15">
        <v>149</v>
      </c>
      <c r="CV29" s="15">
        <v>370</v>
      </c>
      <c r="CW29" s="15">
        <v>0</v>
      </c>
      <c r="CX29" s="15"/>
      <c r="CY29" s="15"/>
      <c r="CZ29" s="15"/>
      <c r="DA29" s="15"/>
      <c r="DB29" s="15"/>
      <c r="DC29" s="15"/>
      <c r="DD29" s="15">
        <v>0</v>
      </c>
      <c r="DE29" s="15">
        <v>0</v>
      </c>
      <c r="DF29" s="15">
        <v>5</v>
      </c>
      <c r="DG29" s="15">
        <v>2</v>
      </c>
      <c r="DH29" s="15">
        <v>5</v>
      </c>
      <c r="DI29" s="15">
        <v>3</v>
      </c>
      <c r="DJ29" s="15">
        <v>5</v>
      </c>
      <c r="DK29" s="15">
        <v>4</v>
      </c>
      <c r="DL29" s="15">
        <v>4</v>
      </c>
      <c r="DM29" s="15">
        <v>5</v>
      </c>
      <c r="DN29" s="15">
        <v>3</v>
      </c>
      <c r="DO29" s="15">
        <v>4</v>
      </c>
      <c r="DP29" s="15">
        <v>3</v>
      </c>
      <c r="DQ29" s="15">
        <v>4</v>
      </c>
      <c r="DR29" s="15">
        <v>4</v>
      </c>
      <c r="DS29" s="15">
        <v>4</v>
      </c>
      <c r="DT29" s="15">
        <v>4</v>
      </c>
      <c r="DU29" s="15">
        <v>5</v>
      </c>
      <c r="DV29" s="15">
        <v>2</v>
      </c>
      <c r="DW29" s="15">
        <v>5</v>
      </c>
      <c r="DX29" s="15">
        <v>1</v>
      </c>
      <c r="DY29" s="15">
        <v>3</v>
      </c>
      <c r="DZ29" s="15">
        <v>2</v>
      </c>
      <c r="EA29" s="15">
        <v>5</v>
      </c>
      <c r="EB29" s="15">
        <v>4</v>
      </c>
      <c r="EC29" s="15">
        <v>2</v>
      </c>
      <c r="ED29" s="15">
        <v>2</v>
      </c>
      <c r="EE29" s="15">
        <v>3</v>
      </c>
      <c r="EF29" s="15">
        <v>2</v>
      </c>
      <c r="EG29" s="15">
        <v>2</v>
      </c>
      <c r="EH29" s="15">
        <v>4</v>
      </c>
      <c r="EI29" s="15">
        <v>1</v>
      </c>
      <c r="EJ29" s="15">
        <v>4</v>
      </c>
      <c r="EK29" s="15">
        <v>3</v>
      </c>
      <c r="EL29" s="15">
        <v>4</v>
      </c>
      <c r="EM29" s="15">
        <v>4</v>
      </c>
      <c r="EN29" s="15">
        <v>3</v>
      </c>
      <c r="EO29" s="15">
        <v>4</v>
      </c>
      <c r="EP29" s="15">
        <v>1</v>
      </c>
      <c r="EQ29" s="15">
        <v>4</v>
      </c>
      <c r="ER29" s="15">
        <v>1</v>
      </c>
      <c r="ES29" s="15">
        <v>2</v>
      </c>
      <c r="ET29" s="15">
        <v>2</v>
      </c>
      <c r="EU29" s="15">
        <v>2</v>
      </c>
      <c r="EV29" s="15">
        <v>3</v>
      </c>
      <c r="EW29" s="15">
        <v>4</v>
      </c>
      <c r="EX29" s="15">
        <v>4</v>
      </c>
      <c r="EY29" s="15">
        <v>4</v>
      </c>
      <c r="EZ29" s="15">
        <v>2</v>
      </c>
      <c r="FA29" s="15">
        <v>2</v>
      </c>
      <c r="FB29" s="15">
        <v>2</v>
      </c>
      <c r="FC29" s="15">
        <v>2</v>
      </c>
      <c r="FD29" s="15">
        <v>2</v>
      </c>
      <c r="FE29" s="15">
        <v>4</v>
      </c>
      <c r="FF29" s="15">
        <v>3</v>
      </c>
      <c r="FG29" s="15">
        <v>2</v>
      </c>
      <c r="FH29" s="15">
        <v>3</v>
      </c>
      <c r="FI29" s="15">
        <v>3</v>
      </c>
      <c r="FJ29" s="15">
        <v>3</v>
      </c>
      <c r="FK29" s="15">
        <v>4</v>
      </c>
      <c r="FL29" s="15">
        <v>4</v>
      </c>
      <c r="FM29" s="15">
        <v>2</v>
      </c>
      <c r="FN29" s="15">
        <v>3</v>
      </c>
      <c r="FO29" s="15">
        <v>3</v>
      </c>
      <c r="FP29" s="15">
        <v>3</v>
      </c>
      <c r="FQ29" s="15">
        <v>4</v>
      </c>
      <c r="FR29" s="15">
        <v>4</v>
      </c>
      <c r="FS29" s="15">
        <v>4</v>
      </c>
      <c r="FT29" s="15">
        <v>3</v>
      </c>
      <c r="FU29" s="15">
        <v>2</v>
      </c>
      <c r="FV29" s="15">
        <v>4</v>
      </c>
      <c r="FW29" s="15">
        <v>2</v>
      </c>
      <c r="FX29" s="15">
        <v>4</v>
      </c>
      <c r="FY29" s="15">
        <v>3</v>
      </c>
      <c r="FZ29" s="15">
        <v>4</v>
      </c>
      <c r="GA29" s="15">
        <v>2</v>
      </c>
      <c r="GB29" s="15">
        <v>2</v>
      </c>
      <c r="GC29" s="15">
        <v>2</v>
      </c>
      <c r="GD29" s="15">
        <v>3</v>
      </c>
      <c r="GE29" s="15">
        <v>4</v>
      </c>
      <c r="GF29" s="15">
        <v>2</v>
      </c>
      <c r="GG29" s="15">
        <v>2</v>
      </c>
      <c r="GH29" s="15">
        <v>2</v>
      </c>
      <c r="GI29" s="15">
        <v>3</v>
      </c>
      <c r="GJ29" s="15">
        <v>4</v>
      </c>
      <c r="GK29" s="15">
        <v>3</v>
      </c>
      <c r="GL29" s="15">
        <v>2</v>
      </c>
      <c r="GM29" s="15">
        <v>2</v>
      </c>
      <c r="GN29" s="15">
        <v>2</v>
      </c>
      <c r="GO29" s="15">
        <v>5</v>
      </c>
      <c r="GP29" s="15">
        <v>1</v>
      </c>
      <c r="GQ29" s="15">
        <v>2</v>
      </c>
      <c r="GR29" s="15">
        <v>2</v>
      </c>
      <c r="GS29" s="15">
        <v>4</v>
      </c>
      <c r="GT29" s="15">
        <v>2</v>
      </c>
      <c r="GU29" s="15">
        <v>4</v>
      </c>
      <c r="GV29" s="15">
        <v>2</v>
      </c>
      <c r="GW29" s="15">
        <v>4</v>
      </c>
      <c r="GX29" s="15">
        <v>2</v>
      </c>
      <c r="GY29" s="15">
        <v>4</v>
      </c>
      <c r="GZ29" s="15">
        <v>2</v>
      </c>
      <c r="HA29" s="15">
        <v>1</v>
      </c>
      <c r="HB29" s="15">
        <v>2</v>
      </c>
      <c r="HC29" s="15">
        <v>4</v>
      </c>
      <c r="HD29" s="15">
        <v>3</v>
      </c>
      <c r="HE29" s="15">
        <v>2</v>
      </c>
      <c r="HF29" s="15">
        <v>2</v>
      </c>
      <c r="HG29" s="15">
        <v>2</v>
      </c>
      <c r="HH29" s="15">
        <v>2</v>
      </c>
      <c r="HI29" s="15">
        <v>4</v>
      </c>
      <c r="HJ29" s="15">
        <v>2</v>
      </c>
      <c r="HK29" s="15">
        <v>1</v>
      </c>
      <c r="HL29" s="15">
        <v>2</v>
      </c>
      <c r="HM29" s="15">
        <v>4</v>
      </c>
      <c r="HN29" s="15">
        <v>1</v>
      </c>
      <c r="HO29" s="15">
        <v>2</v>
      </c>
      <c r="HP29" s="15">
        <v>2</v>
      </c>
      <c r="HQ29" s="15">
        <v>2</v>
      </c>
      <c r="HR29" s="15">
        <v>2</v>
      </c>
      <c r="HS29" s="15">
        <v>4</v>
      </c>
      <c r="HT29" s="15">
        <v>3</v>
      </c>
      <c r="HU29" s="15">
        <v>2</v>
      </c>
      <c r="HV29" s="15">
        <v>2</v>
      </c>
      <c r="HW29" s="15">
        <v>4</v>
      </c>
      <c r="HX29" s="15">
        <v>3.5</v>
      </c>
      <c r="HY29" s="15">
        <v>4</v>
      </c>
      <c r="HZ29" s="15">
        <v>3.25</v>
      </c>
      <c r="IA29" s="15">
        <v>3.25</v>
      </c>
      <c r="IB29" s="15">
        <v>4.25</v>
      </c>
      <c r="IC29" s="15">
        <v>4</v>
      </c>
      <c r="ID29" s="15">
        <v>4</v>
      </c>
      <c r="IE29" s="15">
        <v>2.5</v>
      </c>
      <c r="IF29" s="15">
        <v>4</v>
      </c>
      <c r="IG29" s="15">
        <v>2.75</v>
      </c>
      <c r="IH29" s="15">
        <v>3</v>
      </c>
      <c r="II29" s="15">
        <v>3</v>
      </c>
      <c r="IJ29" s="15">
        <v>2.5</v>
      </c>
      <c r="IK29" s="15">
        <v>3.25</v>
      </c>
      <c r="IL29" s="15">
        <v>2.5</v>
      </c>
      <c r="IM29" s="15">
        <v>3.5</v>
      </c>
      <c r="IN29" s="15">
        <v>3.5</v>
      </c>
      <c r="IO29" s="15">
        <v>4</v>
      </c>
      <c r="IP29" s="15">
        <v>4.25</v>
      </c>
      <c r="IQ29" s="15">
        <v>3.75</v>
      </c>
      <c r="IR29" s="15">
        <v>4.25</v>
      </c>
      <c r="IS29" s="15">
        <v>3.5</v>
      </c>
      <c r="IT29" s="15">
        <v>3.5</v>
      </c>
      <c r="IU29" s="15">
        <v>3.75</v>
      </c>
      <c r="IV29" s="15">
        <v>4.25</v>
      </c>
      <c r="IW29" s="15">
        <v>4</v>
      </c>
      <c r="IX29" s="15">
        <v>4.5</v>
      </c>
      <c r="IY29" s="15">
        <v>4</v>
      </c>
      <c r="IZ29" s="15">
        <v>4</v>
      </c>
    </row>
    <row r="30" spans="1:260" s="12" customFormat="1" x14ac:dyDescent="0.3">
      <c r="A30" s="15">
        <v>31</v>
      </c>
      <c r="B30" s="15" t="s">
        <v>469</v>
      </c>
      <c r="C30" s="16">
        <v>43</v>
      </c>
      <c r="D30" s="15" t="s">
        <v>258</v>
      </c>
      <c r="E30" s="15" t="s">
        <v>289</v>
      </c>
      <c r="F30" s="15" t="s">
        <v>260</v>
      </c>
      <c r="G30" s="15" t="s">
        <v>268</v>
      </c>
      <c r="H30" s="15" t="s">
        <v>269</v>
      </c>
      <c r="I30" s="15" t="s">
        <v>275</v>
      </c>
      <c r="J30" s="15" t="s">
        <v>345</v>
      </c>
      <c r="K30" s="15" t="s">
        <v>277</v>
      </c>
      <c r="L30" s="15" t="s">
        <v>278</v>
      </c>
      <c r="M30" s="15" t="s">
        <v>346</v>
      </c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>
        <v>0</v>
      </c>
      <c r="AE30" s="15">
        <f>1/2</f>
        <v>0.5</v>
      </c>
      <c r="AF30" s="15">
        <v>8.5294530000000002</v>
      </c>
      <c r="AG30" s="15">
        <f>0</f>
        <v>0</v>
      </c>
      <c r="AH30" s="15">
        <f>0</f>
        <v>0</v>
      </c>
      <c r="AI30" s="15"/>
      <c r="AJ30" s="15"/>
      <c r="AK30" s="15">
        <v>1</v>
      </c>
      <c r="AL30" s="15">
        <v>0</v>
      </c>
      <c r="AM30" s="15"/>
      <c r="AN30" s="15">
        <f>1.1</f>
        <v>1.1000000000000001</v>
      </c>
      <c r="AO30" s="15">
        <f>0</f>
        <v>0</v>
      </c>
      <c r="AP30" s="15">
        <f>1/3</f>
        <v>0.33333333333333331</v>
      </c>
      <c r="AQ30" s="15">
        <v>7.5981420000000002</v>
      </c>
      <c r="AR30" s="15">
        <v>0.32250000000000001</v>
      </c>
      <c r="AS30" s="15">
        <v>0</v>
      </c>
      <c r="AT30" s="15"/>
      <c r="AU30" s="15"/>
      <c r="AV30" s="15"/>
      <c r="AW30" s="15"/>
      <c r="AX30" s="15"/>
      <c r="AY30" s="15"/>
      <c r="AZ30" s="15">
        <v>0</v>
      </c>
      <c r="BA30" s="15">
        <f t="shared" si="6"/>
        <v>1</v>
      </c>
      <c r="BB30" s="15">
        <v>5.2645029999999995</v>
      </c>
      <c r="BC30" s="15">
        <f>0</f>
        <v>0</v>
      </c>
      <c r="BD30" s="15">
        <v>0</v>
      </c>
      <c r="BE30" s="15"/>
      <c r="BF30" s="15"/>
      <c r="BG30" s="15"/>
      <c r="BH30" s="15"/>
      <c r="BI30" s="15"/>
      <c r="BJ30" s="15"/>
      <c r="BK30" s="15">
        <v>0</v>
      </c>
      <c r="BL30" s="15">
        <f t="shared" si="7"/>
        <v>1</v>
      </c>
      <c r="BM30" s="15">
        <v>20.580029999999997</v>
      </c>
      <c r="BN30" s="15">
        <v>0</v>
      </c>
      <c r="BO30" s="15"/>
      <c r="BP30" s="15"/>
      <c r="BQ30" s="15"/>
      <c r="BR30" s="15"/>
      <c r="BS30" s="15">
        <v>0</v>
      </c>
      <c r="BT30" s="15">
        <f t="shared" si="9"/>
        <v>1</v>
      </c>
      <c r="BU30" s="15">
        <v>20.580029999999997</v>
      </c>
      <c r="BV30" s="15">
        <v>0</v>
      </c>
      <c r="BW30" s="15">
        <v>1</v>
      </c>
      <c r="BX30" s="15">
        <v>0</v>
      </c>
      <c r="BY30" s="15">
        <f>3/6</f>
        <v>0.5</v>
      </c>
      <c r="BZ30" s="15"/>
      <c r="CA30" s="15"/>
      <c r="CB30" s="15"/>
      <c r="CC30" s="15"/>
      <c r="CD30" s="15">
        <v>0</v>
      </c>
      <c r="CE30" s="15">
        <f>1/2</f>
        <v>0.5</v>
      </c>
      <c r="CF30" s="15">
        <v>12.370153</v>
      </c>
      <c r="CG30" s="15">
        <v>2.75E-2</v>
      </c>
      <c r="CH30" s="15">
        <v>0</v>
      </c>
      <c r="CI30" s="15"/>
      <c r="CJ30" s="15"/>
      <c r="CK30" s="15">
        <f t="shared" si="0"/>
        <v>74.922310999999993</v>
      </c>
      <c r="CL30" s="15">
        <f>2/8</f>
        <v>0.25</v>
      </c>
      <c r="CM30" s="15">
        <v>0</v>
      </c>
      <c r="CN30" s="15">
        <f t="shared" si="8"/>
        <v>0.2</v>
      </c>
      <c r="CO30" s="15">
        <f t="shared" si="8"/>
        <v>0.2</v>
      </c>
      <c r="CP30" s="15">
        <v>0</v>
      </c>
      <c r="CQ30" s="15">
        <v>0</v>
      </c>
      <c r="CR30" s="15">
        <v>0</v>
      </c>
      <c r="CS30" s="15">
        <v>0.15454545454545454</v>
      </c>
      <c r="CT30" s="15">
        <v>0</v>
      </c>
      <c r="CU30" s="15">
        <v>149</v>
      </c>
      <c r="CV30" s="15">
        <v>170</v>
      </c>
      <c r="CW30" s="15">
        <v>0</v>
      </c>
      <c r="CX30" s="15"/>
      <c r="CY30" s="15"/>
      <c r="CZ30" s="15"/>
      <c r="DA30" s="15"/>
      <c r="DB30" s="15"/>
      <c r="DC30" s="15"/>
      <c r="DD30" s="15">
        <v>0</v>
      </c>
      <c r="DE30" s="15">
        <v>0</v>
      </c>
      <c r="DF30" s="15">
        <v>4</v>
      </c>
      <c r="DG30" s="15">
        <v>2</v>
      </c>
      <c r="DH30" s="15">
        <v>4</v>
      </c>
      <c r="DI30" s="15">
        <v>3</v>
      </c>
      <c r="DJ30" s="15">
        <v>4</v>
      </c>
      <c r="DK30" s="15">
        <v>3</v>
      </c>
      <c r="DL30" s="15">
        <v>2</v>
      </c>
      <c r="DM30" s="15">
        <v>4</v>
      </c>
      <c r="DN30" s="15">
        <v>1</v>
      </c>
      <c r="DO30" s="15">
        <v>3</v>
      </c>
      <c r="DP30" s="15">
        <v>3</v>
      </c>
      <c r="DQ30" s="15">
        <v>4</v>
      </c>
      <c r="DR30" s="15">
        <v>4</v>
      </c>
      <c r="DS30" s="15">
        <v>4</v>
      </c>
      <c r="DT30" s="15">
        <v>4</v>
      </c>
      <c r="DU30" s="15">
        <v>3</v>
      </c>
      <c r="DV30" s="15">
        <v>3</v>
      </c>
      <c r="DW30" s="15">
        <v>4</v>
      </c>
      <c r="DX30" s="15">
        <v>1</v>
      </c>
      <c r="DY30" s="15">
        <v>4</v>
      </c>
      <c r="DZ30" s="15">
        <v>4</v>
      </c>
      <c r="EA30" s="15">
        <v>3</v>
      </c>
      <c r="EB30" s="15">
        <v>3</v>
      </c>
      <c r="EC30" s="15">
        <v>2</v>
      </c>
      <c r="ED30" s="15">
        <v>3</v>
      </c>
      <c r="EE30" s="15">
        <v>3</v>
      </c>
      <c r="EF30" s="15">
        <v>2</v>
      </c>
      <c r="EG30" s="15">
        <v>3</v>
      </c>
      <c r="EH30" s="15">
        <v>3</v>
      </c>
      <c r="EI30" s="15">
        <v>3</v>
      </c>
      <c r="EJ30" s="15">
        <v>3</v>
      </c>
      <c r="EK30" s="15">
        <v>3</v>
      </c>
      <c r="EL30" s="15">
        <v>3</v>
      </c>
      <c r="EM30" s="15">
        <v>3</v>
      </c>
      <c r="EN30" s="15">
        <v>3</v>
      </c>
      <c r="EO30" s="15">
        <v>3</v>
      </c>
      <c r="EP30" s="15">
        <v>2</v>
      </c>
      <c r="EQ30" s="15">
        <v>4</v>
      </c>
      <c r="ER30" s="15">
        <v>1</v>
      </c>
      <c r="ES30" s="15">
        <v>2</v>
      </c>
      <c r="ET30" s="15">
        <v>1</v>
      </c>
      <c r="EU30" s="15">
        <v>3</v>
      </c>
      <c r="EV30" s="15">
        <v>4</v>
      </c>
      <c r="EW30" s="15">
        <v>4</v>
      </c>
      <c r="EX30" s="15">
        <v>5</v>
      </c>
      <c r="EY30" s="15">
        <v>3</v>
      </c>
      <c r="EZ30" s="15">
        <v>3</v>
      </c>
      <c r="FA30" s="15">
        <v>3</v>
      </c>
      <c r="FB30" s="15">
        <v>2</v>
      </c>
      <c r="FC30" s="15">
        <v>4</v>
      </c>
      <c r="FD30" s="15">
        <v>3</v>
      </c>
      <c r="FE30" s="15">
        <v>3</v>
      </c>
      <c r="FF30" s="15">
        <v>4</v>
      </c>
      <c r="FG30" s="15">
        <v>2</v>
      </c>
      <c r="FH30" s="15">
        <v>4</v>
      </c>
      <c r="FI30" s="15">
        <v>3</v>
      </c>
      <c r="FJ30" s="15">
        <v>4</v>
      </c>
      <c r="FK30" s="15">
        <v>4</v>
      </c>
      <c r="FL30" s="15">
        <v>3</v>
      </c>
      <c r="FM30" s="15">
        <v>3</v>
      </c>
      <c r="FN30" s="15">
        <v>3</v>
      </c>
      <c r="FO30" s="15">
        <v>3</v>
      </c>
      <c r="FP30" s="15">
        <v>3</v>
      </c>
      <c r="FQ30" s="15">
        <v>3</v>
      </c>
      <c r="FR30" s="15">
        <v>4</v>
      </c>
      <c r="FS30" s="15">
        <v>3</v>
      </c>
      <c r="FT30" s="15">
        <v>4</v>
      </c>
      <c r="FU30" s="15">
        <v>2</v>
      </c>
      <c r="FV30" s="15">
        <v>4</v>
      </c>
      <c r="FW30" s="15">
        <v>3</v>
      </c>
      <c r="FX30" s="15">
        <v>4</v>
      </c>
      <c r="FY30" s="15">
        <v>2</v>
      </c>
      <c r="FZ30" s="15">
        <v>4</v>
      </c>
      <c r="GA30" s="15">
        <v>4</v>
      </c>
      <c r="GB30" s="15">
        <v>2</v>
      </c>
      <c r="GC30" s="15">
        <v>2</v>
      </c>
      <c r="GD30" s="15">
        <v>4</v>
      </c>
      <c r="GE30" s="15">
        <v>4</v>
      </c>
      <c r="GF30" s="15">
        <v>3</v>
      </c>
      <c r="GG30" s="15">
        <v>2</v>
      </c>
      <c r="GH30" s="15">
        <v>2</v>
      </c>
      <c r="GI30" s="15">
        <v>3</v>
      </c>
      <c r="GJ30" s="15">
        <v>2</v>
      </c>
      <c r="GK30" s="15">
        <v>4</v>
      </c>
      <c r="GL30" s="15">
        <v>3</v>
      </c>
      <c r="GM30" s="15">
        <v>3</v>
      </c>
      <c r="GN30" s="15">
        <v>2</v>
      </c>
      <c r="GO30" s="15">
        <v>4</v>
      </c>
      <c r="GP30" s="15">
        <v>3</v>
      </c>
      <c r="GQ30" s="15">
        <v>2</v>
      </c>
      <c r="GR30" s="15">
        <v>3</v>
      </c>
      <c r="GS30" s="15">
        <v>3</v>
      </c>
      <c r="GT30" s="15">
        <v>3</v>
      </c>
      <c r="GU30" s="15">
        <v>2</v>
      </c>
      <c r="GV30" s="15">
        <v>2</v>
      </c>
      <c r="GW30" s="15">
        <v>4</v>
      </c>
      <c r="GX30" s="15">
        <v>3</v>
      </c>
      <c r="GY30" s="15">
        <v>3</v>
      </c>
      <c r="GZ30" s="15">
        <v>3</v>
      </c>
      <c r="HA30" s="15">
        <v>1</v>
      </c>
      <c r="HB30" s="15">
        <v>2</v>
      </c>
      <c r="HC30" s="15">
        <v>3</v>
      </c>
      <c r="HD30" s="15">
        <v>2</v>
      </c>
      <c r="HE30" s="15">
        <v>2</v>
      </c>
      <c r="HF30" s="15">
        <v>2</v>
      </c>
      <c r="HG30" s="15">
        <v>2</v>
      </c>
      <c r="HH30" s="15">
        <v>2</v>
      </c>
      <c r="HI30" s="15">
        <v>4</v>
      </c>
      <c r="HJ30" s="15">
        <v>3</v>
      </c>
      <c r="HK30" s="15">
        <v>5</v>
      </c>
      <c r="HL30" s="15">
        <v>2</v>
      </c>
      <c r="HM30" s="15">
        <v>3</v>
      </c>
      <c r="HN30" s="15">
        <v>3</v>
      </c>
      <c r="HO30" s="15">
        <v>3</v>
      </c>
      <c r="HP30" s="15">
        <v>3</v>
      </c>
      <c r="HQ30" s="15">
        <v>3</v>
      </c>
      <c r="HR30" s="15">
        <v>3</v>
      </c>
      <c r="HS30" s="15">
        <v>3</v>
      </c>
      <c r="HT30" s="15">
        <v>4</v>
      </c>
      <c r="HU30" s="15">
        <v>3</v>
      </c>
      <c r="HV30" s="15">
        <v>3</v>
      </c>
      <c r="HW30" s="15">
        <v>3.75</v>
      </c>
      <c r="HX30" s="15">
        <v>3.25</v>
      </c>
      <c r="HY30" s="15">
        <v>4.25</v>
      </c>
      <c r="HZ30" s="15">
        <v>4</v>
      </c>
      <c r="IA30" s="15">
        <v>3.25</v>
      </c>
      <c r="IB30" s="15">
        <v>3</v>
      </c>
      <c r="IC30" s="15">
        <v>3.25</v>
      </c>
      <c r="ID30" s="15">
        <v>3</v>
      </c>
      <c r="IE30" s="15">
        <v>2.25</v>
      </c>
      <c r="IF30" s="15">
        <v>3.5</v>
      </c>
      <c r="IG30" s="15">
        <v>3.25</v>
      </c>
      <c r="IH30" s="15">
        <v>2.75</v>
      </c>
      <c r="II30" s="15">
        <v>2.75</v>
      </c>
      <c r="IJ30" s="15">
        <v>2.25</v>
      </c>
      <c r="IK30" s="15">
        <v>3.75</v>
      </c>
      <c r="IL30" s="15">
        <v>3</v>
      </c>
      <c r="IM30" s="15">
        <v>2.75</v>
      </c>
      <c r="IN30" s="15">
        <v>3.25</v>
      </c>
      <c r="IO30" s="15">
        <v>3</v>
      </c>
      <c r="IP30" s="15">
        <v>3.75</v>
      </c>
      <c r="IQ30" s="15">
        <v>3.5</v>
      </c>
      <c r="IR30" s="15">
        <v>3.25</v>
      </c>
      <c r="IS30" s="15">
        <v>2.5</v>
      </c>
      <c r="IT30" s="15">
        <v>3</v>
      </c>
      <c r="IU30" s="15">
        <v>3.25</v>
      </c>
      <c r="IV30" s="15">
        <v>4.5</v>
      </c>
      <c r="IW30" s="15">
        <v>4</v>
      </c>
      <c r="IX30" s="15">
        <v>3.5</v>
      </c>
      <c r="IY30" s="15">
        <v>3.5</v>
      </c>
      <c r="IZ30" s="15">
        <v>3.25</v>
      </c>
    </row>
    <row r="31" spans="1:260" s="12" customFormat="1" x14ac:dyDescent="0.3">
      <c r="A31" s="15">
        <v>32</v>
      </c>
      <c r="B31" s="15" t="s">
        <v>469</v>
      </c>
      <c r="C31" s="16">
        <v>45</v>
      </c>
      <c r="D31" s="15" t="s">
        <v>258</v>
      </c>
      <c r="E31" s="15" t="s">
        <v>289</v>
      </c>
      <c r="F31" s="15" t="s">
        <v>290</v>
      </c>
      <c r="G31" s="15" t="s">
        <v>283</v>
      </c>
      <c r="H31" s="15" t="s">
        <v>262</v>
      </c>
      <c r="I31" s="15" t="s">
        <v>262</v>
      </c>
      <c r="J31" s="15" t="s">
        <v>347</v>
      </c>
      <c r="K31" s="15" t="s">
        <v>272</v>
      </c>
      <c r="L31" s="15" t="s">
        <v>348</v>
      </c>
      <c r="M31" s="15" t="s">
        <v>349</v>
      </c>
      <c r="N31" s="15">
        <v>5</v>
      </c>
      <c r="O31" s="15"/>
      <c r="P31" s="15"/>
      <c r="Q31" s="15">
        <v>5.5</v>
      </c>
      <c r="R31" s="15">
        <f>1/1</f>
        <v>1</v>
      </c>
      <c r="S31" s="15">
        <v>0</v>
      </c>
      <c r="T31" s="15">
        <v>12</v>
      </c>
      <c r="U31" s="15">
        <v>0</v>
      </c>
      <c r="V31" s="15">
        <v>0</v>
      </c>
      <c r="W31" s="15">
        <v>0</v>
      </c>
      <c r="X31" s="15">
        <v>28</v>
      </c>
      <c r="Y31" s="15">
        <v>0</v>
      </c>
      <c r="Z31" s="15">
        <v>3</v>
      </c>
      <c r="AA31" s="15">
        <v>0</v>
      </c>
      <c r="AB31" s="15"/>
      <c r="AC31" s="15">
        <v>3.25</v>
      </c>
      <c r="AD31" s="15">
        <v>0</v>
      </c>
      <c r="AE31" s="15">
        <f t="shared" ref="AE31:AE37" si="10">2/2</f>
        <v>1</v>
      </c>
      <c r="AF31" s="15">
        <v>24</v>
      </c>
      <c r="AG31" s="15">
        <v>0</v>
      </c>
      <c r="AH31" s="15">
        <v>1</v>
      </c>
      <c r="AI31" s="15">
        <v>0</v>
      </c>
      <c r="AJ31" s="15">
        <f>5/5</f>
        <v>1</v>
      </c>
      <c r="AK31" s="15">
        <v>10</v>
      </c>
      <c r="AL31" s="15">
        <f>4/8</f>
        <v>0.5</v>
      </c>
      <c r="AM31" s="15"/>
      <c r="AN31" s="15">
        <v>11</v>
      </c>
      <c r="AO31" s="15">
        <v>0</v>
      </c>
      <c r="AP31" s="15">
        <f>3/3</f>
        <v>1</v>
      </c>
      <c r="AQ31" s="15">
        <v>89</v>
      </c>
      <c r="AR31" s="15">
        <v>0</v>
      </c>
      <c r="AS31" s="15">
        <v>0</v>
      </c>
      <c r="AT31" s="15"/>
      <c r="AU31" s="15"/>
      <c r="AV31" s="15"/>
      <c r="AW31" s="15"/>
      <c r="AX31" s="15"/>
      <c r="AY31" s="15"/>
      <c r="AZ31" s="15">
        <v>0</v>
      </c>
      <c r="BA31" s="15">
        <f t="shared" si="6"/>
        <v>1</v>
      </c>
      <c r="BB31" s="15">
        <v>-1</v>
      </c>
      <c r="BC31" s="15">
        <v>0</v>
      </c>
      <c r="BD31" s="15">
        <v>0</v>
      </c>
      <c r="BE31" s="15"/>
      <c r="BF31" s="15"/>
      <c r="BG31" s="15"/>
      <c r="BH31" s="15"/>
      <c r="BI31" s="15"/>
      <c r="BJ31" s="15"/>
      <c r="BK31" s="15">
        <v>0</v>
      </c>
      <c r="BL31" s="15">
        <f t="shared" si="7"/>
        <v>1</v>
      </c>
      <c r="BM31" s="15">
        <v>-1</v>
      </c>
      <c r="BN31" s="15">
        <v>0</v>
      </c>
      <c r="BO31" s="15"/>
      <c r="BP31" s="15"/>
      <c r="BQ31" s="15"/>
      <c r="BR31" s="15"/>
      <c r="BS31" s="15">
        <v>0</v>
      </c>
      <c r="BT31" s="15">
        <f t="shared" si="9"/>
        <v>1</v>
      </c>
      <c r="BU31" s="15">
        <v>25</v>
      </c>
      <c r="BV31" s="15">
        <v>0</v>
      </c>
      <c r="BW31" s="15">
        <v>0</v>
      </c>
      <c r="BX31" s="15"/>
      <c r="BY31" s="15"/>
      <c r="BZ31" s="15"/>
      <c r="CA31" s="15"/>
      <c r="CB31" s="15"/>
      <c r="CC31" s="15"/>
      <c r="CD31" s="15">
        <v>0</v>
      </c>
      <c r="CE31" s="15">
        <f t="shared" ref="CE31:CE51" si="11">2/2</f>
        <v>1</v>
      </c>
      <c r="CF31" s="15">
        <v>32.008740000000003</v>
      </c>
      <c r="CG31" s="15">
        <v>0.47249999999999998</v>
      </c>
      <c r="CH31" s="15">
        <v>0</v>
      </c>
      <c r="CI31" s="15"/>
      <c r="CJ31" s="15"/>
      <c r="CK31" s="15">
        <f t="shared" si="0"/>
        <v>208.00873999999999</v>
      </c>
      <c r="CL31" s="15">
        <f>4/8</f>
        <v>0.5</v>
      </c>
      <c r="CM31" s="15">
        <v>2</v>
      </c>
      <c r="CN31" s="15">
        <v>1</v>
      </c>
      <c r="CO31" s="15">
        <f>Table1[[#This Row],[TotalTrapsRisked]]/5</f>
        <v>0.2</v>
      </c>
      <c r="CP31" s="15">
        <v>0</v>
      </c>
      <c r="CQ31" s="15">
        <v>1</v>
      </c>
      <c r="CR31" s="15">
        <v>0.3125</v>
      </c>
      <c r="CS31" s="15">
        <v>0.41818181818181815</v>
      </c>
      <c r="CT31" s="15">
        <v>1</v>
      </c>
      <c r="CU31" s="15">
        <v>335</v>
      </c>
      <c r="CV31" s="15">
        <v>560</v>
      </c>
      <c r="CW31" s="15">
        <v>1</v>
      </c>
      <c r="CX31" s="15"/>
      <c r="CY31" s="15"/>
      <c r="CZ31" s="15"/>
      <c r="DA31" s="15"/>
      <c r="DB31" s="15"/>
      <c r="DC31" s="15"/>
      <c r="DD31" s="15">
        <v>0</v>
      </c>
      <c r="DE31" s="15">
        <v>0</v>
      </c>
      <c r="DF31" s="15">
        <v>4</v>
      </c>
      <c r="DG31" s="15">
        <v>2</v>
      </c>
      <c r="DH31" s="15">
        <v>4</v>
      </c>
      <c r="DI31" s="15">
        <v>4</v>
      </c>
      <c r="DJ31" s="15">
        <v>4</v>
      </c>
      <c r="DK31" s="15">
        <v>2</v>
      </c>
      <c r="DL31" s="15">
        <v>3</v>
      </c>
      <c r="DM31" s="15">
        <v>4</v>
      </c>
      <c r="DN31" s="15">
        <v>2</v>
      </c>
      <c r="DO31" s="15">
        <v>4</v>
      </c>
      <c r="DP31" s="15">
        <v>2</v>
      </c>
      <c r="DQ31" s="15">
        <v>4</v>
      </c>
      <c r="DR31" s="15">
        <v>3</v>
      </c>
      <c r="DS31" s="15">
        <v>4</v>
      </c>
      <c r="DT31" s="15">
        <v>4</v>
      </c>
      <c r="DU31" s="15">
        <v>4</v>
      </c>
      <c r="DV31" s="15">
        <v>3</v>
      </c>
      <c r="DW31" s="15">
        <v>4</v>
      </c>
      <c r="DX31" s="15">
        <v>1</v>
      </c>
      <c r="DY31" s="15">
        <v>4</v>
      </c>
      <c r="DZ31" s="15">
        <v>3</v>
      </c>
      <c r="EA31" s="15">
        <v>3</v>
      </c>
      <c r="EB31" s="15">
        <v>3</v>
      </c>
      <c r="EC31" s="15">
        <v>2</v>
      </c>
      <c r="ED31" s="15">
        <v>4</v>
      </c>
      <c r="EE31" s="15">
        <v>1</v>
      </c>
      <c r="EF31" s="15">
        <v>3</v>
      </c>
      <c r="EG31" s="15">
        <v>3</v>
      </c>
      <c r="EH31" s="15">
        <v>4</v>
      </c>
      <c r="EI31" s="15">
        <v>1</v>
      </c>
      <c r="EJ31" s="15">
        <v>1</v>
      </c>
      <c r="EK31" s="15">
        <v>1</v>
      </c>
      <c r="EL31" s="15">
        <v>2</v>
      </c>
      <c r="EM31" s="15">
        <v>4</v>
      </c>
      <c r="EN31" s="15">
        <v>3</v>
      </c>
      <c r="EO31" s="15">
        <v>1</v>
      </c>
      <c r="EP31" s="15">
        <v>1</v>
      </c>
      <c r="EQ31" s="15">
        <v>5</v>
      </c>
      <c r="ER31" s="15">
        <v>1</v>
      </c>
      <c r="ES31" s="15">
        <v>3</v>
      </c>
      <c r="ET31" s="15">
        <v>1</v>
      </c>
      <c r="EU31" s="15">
        <v>3</v>
      </c>
      <c r="EV31" s="15">
        <v>4</v>
      </c>
      <c r="EW31" s="15">
        <v>4</v>
      </c>
      <c r="EX31" s="15">
        <v>4</v>
      </c>
      <c r="EY31" s="15">
        <v>3</v>
      </c>
      <c r="EZ31" s="15">
        <v>4</v>
      </c>
      <c r="FA31" s="15">
        <v>2</v>
      </c>
      <c r="FB31" s="15">
        <v>3</v>
      </c>
      <c r="FC31" s="15">
        <v>3</v>
      </c>
      <c r="FD31" s="15">
        <v>1</v>
      </c>
      <c r="FE31" s="15">
        <v>2</v>
      </c>
      <c r="FF31" s="15">
        <v>5</v>
      </c>
      <c r="FG31" s="15">
        <v>5</v>
      </c>
      <c r="FH31" s="15">
        <v>4</v>
      </c>
      <c r="FI31" s="15">
        <v>1</v>
      </c>
      <c r="FJ31" s="15">
        <v>4</v>
      </c>
      <c r="FK31" s="15">
        <v>1</v>
      </c>
      <c r="FL31" s="15">
        <v>5</v>
      </c>
      <c r="FM31" s="15">
        <v>4</v>
      </c>
      <c r="FN31" s="15">
        <v>1</v>
      </c>
      <c r="FO31" s="15">
        <v>1</v>
      </c>
      <c r="FP31" s="15">
        <v>4</v>
      </c>
      <c r="FQ31" s="15">
        <v>4</v>
      </c>
      <c r="FR31" s="15">
        <v>4</v>
      </c>
      <c r="FS31" s="15">
        <v>2</v>
      </c>
      <c r="FT31" s="15">
        <v>2</v>
      </c>
      <c r="FU31" s="15">
        <v>1</v>
      </c>
      <c r="FV31" s="15">
        <v>4</v>
      </c>
      <c r="FW31" s="15">
        <v>1</v>
      </c>
      <c r="FX31" s="15">
        <v>2</v>
      </c>
      <c r="FY31" s="15">
        <v>1</v>
      </c>
      <c r="FZ31" s="15">
        <v>5</v>
      </c>
      <c r="GA31" s="15">
        <v>3</v>
      </c>
      <c r="GB31" s="15">
        <v>2</v>
      </c>
      <c r="GC31" s="15">
        <v>2</v>
      </c>
      <c r="GD31" s="15">
        <v>2</v>
      </c>
      <c r="GE31" s="15">
        <v>4</v>
      </c>
      <c r="GF31" s="15">
        <v>2</v>
      </c>
      <c r="GG31" s="15">
        <v>1</v>
      </c>
      <c r="GH31" s="15">
        <v>1</v>
      </c>
      <c r="GI31" s="15">
        <v>4</v>
      </c>
      <c r="GJ31" s="15">
        <v>1</v>
      </c>
      <c r="GK31" s="15">
        <v>2</v>
      </c>
      <c r="GL31" s="15">
        <v>4</v>
      </c>
      <c r="GM31" s="15">
        <v>2</v>
      </c>
      <c r="GN31" s="15">
        <v>1</v>
      </c>
      <c r="GO31" s="15">
        <v>5</v>
      </c>
      <c r="GP31" s="15">
        <v>1</v>
      </c>
      <c r="GQ31" s="15">
        <v>1</v>
      </c>
      <c r="GR31" s="15">
        <v>3</v>
      </c>
      <c r="GS31" s="15">
        <v>1</v>
      </c>
      <c r="GT31" s="15">
        <v>1</v>
      </c>
      <c r="GU31" s="15">
        <v>1</v>
      </c>
      <c r="GV31" s="15">
        <v>2</v>
      </c>
      <c r="GW31" s="15">
        <v>4</v>
      </c>
      <c r="GX31" s="15">
        <v>2</v>
      </c>
      <c r="GY31" s="15">
        <v>3</v>
      </c>
      <c r="GZ31" s="15">
        <v>1</v>
      </c>
      <c r="HA31" s="15">
        <v>1</v>
      </c>
      <c r="HB31" s="15">
        <v>1</v>
      </c>
      <c r="HC31" s="15">
        <v>5</v>
      </c>
      <c r="HD31" s="15">
        <v>3</v>
      </c>
      <c r="HE31" s="15">
        <v>2</v>
      </c>
      <c r="HF31" s="15">
        <v>2</v>
      </c>
      <c r="HG31" s="15">
        <v>2</v>
      </c>
      <c r="HH31" s="15">
        <v>1</v>
      </c>
      <c r="HI31" s="15">
        <v>4</v>
      </c>
      <c r="HJ31" s="15">
        <v>4</v>
      </c>
      <c r="HK31" s="15">
        <v>2</v>
      </c>
      <c r="HL31" s="15">
        <v>1</v>
      </c>
      <c r="HM31" s="15">
        <v>5</v>
      </c>
      <c r="HN31" s="15">
        <v>1</v>
      </c>
      <c r="HO31" s="15">
        <v>1</v>
      </c>
      <c r="HP31" s="15">
        <v>2</v>
      </c>
      <c r="HQ31" s="15">
        <v>2</v>
      </c>
      <c r="HR31" s="15">
        <v>5</v>
      </c>
      <c r="HS31" s="15">
        <v>5</v>
      </c>
      <c r="HT31" s="15">
        <v>1</v>
      </c>
      <c r="HU31" s="15">
        <v>2</v>
      </c>
      <c r="HV31" s="15">
        <v>1</v>
      </c>
      <c r="HW31" s="15">
        <v>3.75</v>
      </c>
      <c r="HX31" s="15">
        <v>4</v>
      </c>
      <c r="HY31" s="15">
        <v>4</v>
      </c>
      <c r="HZ31" s="15">
        <v>4.25</v>
      </c>
      <c r="IA31" s="15">
        <v>4</v>
      </c>
      <c r="IB31" s="15">
        <v>3.75</v>
      </c>
      <c r="IC31" s="15">
        <v>1.75</v>
      </c>
      <c r="ID31" s="15">
        <v>2.25</v>
      </c>
      <c r="IE31" s="15">
        <v>1.25</v>
      </c>
      <c r="IF31" s="15">
        <v>3.5</v>
      </c>
      <c r="IG31" s="15">
        <v>2.75</v>
      </c>
      <c r="IH31" s="15">
        <v>1</v>
      </c>
      <c r="II31" s="15">
        <v>3.25</v>
      </c>
      <c r="IJ31" s="15">
        <v>2.75</v>
      </c>
      <c r="IK31" s="15">
        <v>3.75</v>
      </c>
      <c r="IL31" s="15">
        <v>3.25</v>
      </c>
      <c r="IM31" s="15">
        <v>1.75</v>
      </c>
      <c r="IN31" s="15">
        <v>4.25</v>
      </c>
      <c r="IO31" s="15">
        <v>2.75</v>
      </c>
      <c r="IP31" s="15">
        <v>4.75</v>
      </c>
      <c r="IQ31" s="15">
        <v>3.5</v>
      </c>
      <c r="IR31" s="15">
        <v>3.5</v>
      </c>
      <c r="IS31" s="15">
        <v>3.25</v>
      </c>
      <c r="IT31" s="15">
        <v>3.5</v>
      </c>
      <c r="IU31" s="15">
        <v>4</v>
      </c>
      <c r="IV31" s="15">
        <v>4.75</v>
      </c>
      <c r="IW31" s="15">
        <v>4</v>
      </c>
      <c r="IX31" s="15">
        <v>4.25</v>
      </c>
      <c r="IY31" s="15">
        <v>2.75</v>
      </c>
      <c r="IZ31" s="15">
        <v>4.5</v>
      </c>
    </row>
    <row r="32" spans="1:260" s="12" customFormat="1" x14ac:dyDescent="0.3">
      <c r="A32" s="15">
        <v>33</v>
      </c>
      <c r="B32" s="15" t="s">
        <v>469</v>
      </c>
      <c r="C32" s="16">
        <v>22</v>
      </c>
      <c r="D32" s="15" t="s">
        <v>258</v>
      </c>
      <c r="E32" s="15" t="s">
        <v>259</v>
      </c>
      <c r="F32" s="15" t="s">
        <v>260</v>
      </c>
      <c r="G32" s="15" t="s">
        <v>261</v>
      </c>
      <c r="H32" s="15" t="s">
        <v>269</v>
      </c>
      <c r="I32" s="15" t="s">
        <v>270</v>
      </c>
      <c r="J32" s="15" t="s">
        <v>350</v>
      </c>
      <c r="K32" s="15" t="s">
        <v>265</v>
      </c>
      <c r="L32" s="15" t="s">
        <v>351</v>
      </c>
      <c r="M32" s="15" t="s">
        <v>352</v>
      </c>
      <c r="N32" s="15">
        <v>0</v>
      </c>
      <c r="O32" s="15">
        <f>3/3</f>
        <v>1</v>
      </c>
      <c r="P32" s="15">
        <v>7.8616329999999994</v>
      </c>
      <c r="Q32" s="15">
        <v>0.6</v>
      </c>
      <c r="R32" s="15"/>
      <c r="S32" s="15"/>
      <c r="T32" s="15"/>
      <c r="U32" s="15"/>
      <c r="V32" s="15">
        <v>0</v>
      </c>
      <c r="W32" s="15">
        <v>0</v>
      </c>
      <c r="X32" s="15">
        <v>10.100485000000001</v>
      </c>
      <c r="Y32" s="15">
        <v>0</v>
      </c>
      <c r="Z32" s="15">
        <v>1</v>
      </c>
      <c r="AA32" s="15">
        <f>5/5</f>
        <v>1</v>
      </c>
      <c r="AB32" s="15">
        <v>23.997190999999997</v>
      </c>
      <c r="AC32" s="15">
        <v>1.05</v>
      </c>
      <c r="AD32" s="15">
        <v>0</v>
      </c>
      <c r="AE32" s="15">
        <f t="shared" si="10"/>
        <v>1</v>
      </c>
      <c r="AF32" s="15">
        <v>4.1659189999999997</v>
      </c>
      <c r="AG32" s="15">
        <v>0</v>
      </c>
      <c r="AH32" s="15">
        <v>0</v>
      </c>
      <c r="AI32" s="15"/>
      <c r="AJ32" s="15"/>
      <c r="AK32" s="15">
        <v>27</v>
      </c>
      <c r="AL32" s="15">
        <f>7/8</f>
        <v>0.875</v>
      </c>
      <c r="AM32" s="15">
        <v>42.204900000000002</v>
      </c>
      <c r="AN32" s="15">
        <f>1.1*27+0.3</f>
        <v>30.000000000000004</v>
      </c>
      <c r="AO32" s="15"/>
      <c r="AP32" s="15"/>
      <c r="AQ32" s="15"/>
      <c r="AR32" s="15"/>
      <c r="AS32" s="15">
        <v>0</v>
      </c>
      <c r="AT32" s="15"/>
      <c r="AU32" s="15"/>
      <c r="AV32" s="15"/>
      <c r="AW32" s="15"/>
      <c r="AX32" s="15"/>
      <c r="AY32" s="15"/>
      <c r="AZ32" s="15">
        <v>0</v>
      </c>
      <c r="BA32" s="15">
        <f t="shared" si="6"/>
        <v>1</v>
      </c>
      <c r="BB32" s="15">
        <v>5.6409589999999996</v>
      </c>
      <c r="BC32" s="15">
        <f>0</f>
        <v>0</v>
      </c>
      <c r="BD32" s="15">
        <v>0</v>
      </c>
      <c r="BE32" s="15"/>
      <c r="BF32" s="15"/>
      <c r="BG32" s="15"/>
      <c r="BH32" s="15"/>
      <c r="BI32" s="15"/>
      <c r="BJ32" s="15"/>
      <c r="BK32" s="15">
        <f>0</f>
        <v>0</v>
      </c>
      <c r="BL32" s="15">
        <f t="shared" si="7"/>
        <v>1</v>
      </c>
      <c r="BM32" s="15">
        <v>12.24741</v>
      </c>
      <c r="BN32" s="15">
        <f>0</f>
        <v>0</v>
      </c>
      <c r="BO32" s="15"/>
      <c r="BP32" s="15"/>
      <c r="BQ32" s="15"/>
      <c r="BR32" s="15"/>
      <c r="BS32" s="15">
        <v>0</v>
      </c>
      <c r="BT32" s="15">
        <f t="shared" si="9"/>
        <v>1</v>
      </c>
      <c r="BU32" s="15">
        <v>18.424671999999997</v>
      </c>
      <c r="BV32" s="15">
        <v>0</v>
      </c>
      <c r="BW32" s="15">
        <v>0</v>
      </c>
      <c r="BX32" s="15"/>
      <c r="BY32" s="15"/>
      <c r="BZ32" s="15"/>
      <c r="CA32" s="15"/>
      <c r="CB32" s="15"/>
      <c r="CC32" s="15"/>
      <c r="CD32" s="15">
        <v>0</v>
      </c>
      <c r="CE32" s="15">
        <f t="shared" si="11"/>
        <v>1</v>
      </c>
      <c r="CF32" s="15">
        <v>16.719731499999998</v>
      </c>
      <c r="CG32" s="15">
        <v>3.2500000000000001E-2</v>
      </c>
      <c r="CH32" s="15">
        <v>1</v>
      </c>
      <c r="CI32" s="15">
        <v>1</v>
      </c>
      <c r="CJ32" s="15">
        <f>5/6</f>
        <v>0.83333333333333337</v>
      </c>
      <c r="CK32" s="15">
        <f t="shared" si="0"/>
        <v>141.36290049999999</v>
      </c>
      <c r="CL32" s="15">
        <f>4/8</f>
        <v>0.5</v>
      </c>
      <c r="CM32" s="15">
        <v>2</v>
      </c>
      <c r="CN32" s="15">
        <v>1</v>
      </c>
      <c r="CO32" s="15">
        <f>Table1[[#This Row],[TotalTrapsRisked]]/5</f>
        <v>0.2</v>
      </c>
      <c r="CP32" s="15">
        <v>0</v>
      </c>
      <c r="CQ32" s="15">
        <v>1</v>
      </c>
      <c r="CR32" s="15">
        <v>1</v>
      </c>
      <c r="CS32" s="15">
        <v>1</v>
      </c>
      <c r="CT32" s="15">
        <v>3</v>
      </c>
      <c r="CU32" s="15">
        <v>368</v>
      </c>
      <c r="CV32" s="15">
        <v>1400</v>
      </c>
      <c r="CW32" s="15">
        <v>3</v>
      </c>
      <c r="CX32" s="15">
        <v>0.10416666666666667</v>
      </c>
      <c r="CY32" s="15">
        <v>0.20909090909090908</v>
      </c>
      <c r="CZ32" s="15">
        <v>0</v>
      </c>
      <c r="DA32" s="15">
        <v>100</v>
      </c>
      <c r="DB32" s="15">
        <v>230</v>
      </c>
      <c r="DC32" s="15">
        <v>0</v>
      </c>
      <c r="DD32" s="15">
        <v>1</v>
      </c>
      <c r="DE32" s="15">
        <v>0</v>
      </c>
      <c r="DF32" s="15">
        <v>4</v>
      </c>
      <c r="DG32" s="15">
        <v>3</v>
      </c>
      <c r="DH32" s="15">
        <v>5</v>
      </c>
      <c r="DI32" s="15">
        <v>3</v>
      </c>
      <c r="DJ32" s="15">
        <v>4</v>
      </c>
      <c r="DK32" s="15">
        <v>2</v>
      </c>
      <c r="DL32" s="15">
        <v>3</v>
      </c>
      <c r="DM32" s="15">
        <v>5</v>
      </c>
      <c r="DN32" s="15">
        <v>3</v>
      </c>
      <c r="DO32" s="15">
        <v>1</v>
      </c>
      <c r="DP32" s="15">
        <v>3</v>
      </c>
      <c r="DQ32" s="15">
        <v>4</v>
      </c>
      <c r="DR32" s="15">
        <v>5</v>
      </c>
      <c r="DS32" s="15">
        <v>4</v>
      </c>
      <c r="DT32" s="15">
        <v>3</v>
      </c>
      <c r="DU32" s="15">
        <v>4</v>
      </c>
      <c r="DV32" s="15">
        <v>3</v>
      </c>
      <c r="DW32" s="15">
        <v>4</v>
      </c>
      <c r="DX32" s="15">
        <v>3</v>
      </c>
      <c r="DY32" s="15">
        <v>4</v>
      </c>
      <c r="DZ32" s="15">
        <v>5</v>
      </c>
      <c r="EA32" s="15">
        <v>5</v>
      </c>
      <c r="EB32" s="15">
        <v>5</v>
      </c>
      <c r="EC32" s="15">
        <v>2</v>
      </c>
      <c r="ED32" s="15">
        <v>2</v>
      </c>
      <c r="EE32" s="15">
        <v>4</v>
      </c>
      <c r="EF32" s="15">
        <v>3</v>
      </c>
      <c r="EG32" s="15">
        <v>4</v>
      </c>
      <c r="EH32" s="15">
        <v>4</v>
      </c>
      <c r="EI32" s="15">
        <v>3</v>
      </c>
      <c r="EJ32" s="15">
        <v>4</v>
      </c>
      <c r="EK32" s="15">
        <v>3</v>
      </c>
      <c r="EL32" s="15">
        <v>3</v>
      </c>
      <c r="EM32" s="15">
        <v>4</v>
      </c>
      <c r="EN32" s="15">
        <v>3</v>
      </c>
      <c r="EO32" s="15">
        <v>3</v>
      </c>
      <c r="EP32" s="15">
        <v>4</v>
      </c>
      <c r="EQ32" s="15">
        <v>5</v>
      </c>
      <c r="ER32" s="15">
        <v>3</v>
      </c>
      <c r="ES32" s="15">
        <v>5</v>
      </c>
      <c r="ET32" s="15">
        <v>1</v>
      </c>
      <c r="EU32" s="15">
        <v>4</v>
      </c>
      <c r="EV32" s="15">
        <v>4</v>
      </c>
      <c r="EW32" s="15">
        <v>4</v>
      </c>
      <c r="EX32" s="15">
        <v>3</v>
      </c>
      <c r="EY32" s="15">
        <v>4</v>
      </c>
      <c r="EZ32" s="15">
        <v>4</v>
      </c>
      <c r="FA32" s="15">
        <v>4</v>
      </c>
      <c r="FB32" s="15">
        <v>3</v>
      </c>
      <c r="FC32" s="15">
        <v>4</v>
      </c>
      <c r="FD32" s="15">
        <v>2</v>
      </c>
      <c r="FE32" s="15">
        <v>5</v>
      </c>
      <c r="FF32" s="15">
        <v>1</v>
      </c>
      <c r="FG32" s="15">
        <v>5</v>
      </c>
      <c r="FH32" s="15">
        <v>3</v>
      </c>
      <c r="FI32" s="15">
        <v>2</v>
      </c>
      <c r="FJ32" s="15">
        <v>5</v>
      </c>
      <c r="FK32" s="15">
        <v>5</v>
      </c>
      <c r="FL32" s="15">
        <v>4</v>
      </c>
      <c r="FM32" s="15">
        <v>5</v>
      </c>
      <c r="FN32" s="15">
        <v>4</v>
      </c>
      <c r="FO32" s="15">
        <v>3</v>
      </c>
      <c r="FP32" s="15">
        <v>4</v>
      </c>
      <c r="FQ32" s="15">
        <v>4</v>
      </c>
      <c r="FR32" s="15">
        <v>3</v>
      </c>
      <c r="FS32" s="15">
        <v>3</v>
      </c>
      <c r="FT32" s="15">
        <v>4</v>
      </c>
      <c r="FU32" s="15">
        <v>3</v>
      </c>
      <c r="FV32" s="15">
        <v>4</v>
      </c>
      <c r="FW32" s="15">
        <v>3</v>
      </c>
      <c r="FX32" s="15">
        <v>5</v>
      </c>
      <c r="FY32" s="15">
        <v>2</v>
      </c>
      <c r="FZ32" s="15">
        <v>4</v>
      </c>
      <c r="GA32" s="15">
        <v>4</v>
      </c>
      <c r="GB32" s="15">
        <v>2</v>
      </c>
      <c r="GC32" s="15">
        <v>3</v>
      </c>
      <c r="GD32" s="15">
        <v>3</v>
      </c>
      <c r="GE32" s="15">
        <v>4</v>
      </c>
      <c r="GF32" s="15">
        <v>3</v>
      </c>
      <c r="GG32" s="15">
        <v>1</v>
      </c>
      <c r="GH32" s="15">
        <v>3</v>
      </c>
      <c r="GI32" s="15">
        <v>4</v>
      </c>
      <c r="GJ32" s="15">
        <v>4</v>
      </c>
      <c r="GK32" s="15">
        <v>3</v>
      </c>
      <c r="GL32" s="15">
        <v>5</v>
      </c>
      <c r="GM32" s="15">
        <v>4</v>
      </c>
      <c r="GN32" s="15">
        <v>3</v>
      </c>
      <c r="GO32" s="15">
        <v>5</v>
      </c>
      <c r="GP32" s="15">
        <v>1</v>
      </c>
      <c r="GQ32" s="15">
        <v>3</v>
      </c>
      <c r="GR32" s="15">
        <v>4</v>
      </c>
      <c r="GS32" s="15">
        <v>3</v>
      </c>
      <c r="GT32" s="15">
        <v>3</v>
      </c>
      <c r="GU32" s="15">
        <v>4</v>
      </c>
      <c r="GV32" s="15">
        <v>3</v>
      </c>
      <c r="GW32" s="15">
        <v>3</v>
      </c>
      <c r="GX32" s="15">
        <v>3</v>
      </c>
      <c r="GY32" s="15">
        <v>4</v>
      </c>
      <c r="GZ32" s="15">
        <v>1</v>
      </c>
      <c r="HA32" s="15">
        <v>1</v>
      </c>
      <c r="HB32" s="15">
        <v>1</v>
      </c>
      <c r="HC32" s="15">
        <v>1</v>
      </c>
      <c r="HD32" s="15">
        <v>2</v>
      </c>
      <c r="HE32" s="15">
        <v>1</v>
      </c>
      <c r="HF32" s="15">
        <v>1</v>
      </c>
      <c r="HG32" s="15">
        <v>2</v>
      </c>
      <c r="HH32" s="15">
        <v>2</v>
      </c>
      <c r="HI32" s="15">
        <v>3</v>
      </c>
      <c r="HJ32" s="15">
        <v>2</v>
      </c>
      <c r="HK32" s="15">
        <v>1</v>
      </c>
      <c r="HL32" s="15">
        <v>2</v>
      </c>
      <c r="HM32" s="15">
        <v>3</v>
      </c>
      <c r="HN32" s="15">
        <v>4</v>
      </c>
      <c r="HO32" s="15">
        <v>1</v>
      </c>
      <c r="HP32" s="15">
        <v>4</v>
      </c>
      <c r="HQ32" s="15">
        <v>3</v>
      </c>
      <c r="HR32" s="15">
        <v>2</v>
      </c>
      <c r="HS32" s="15">
        <v>5</v>
      </c>
      <c r="HT32" s="15">
        <v>2</v>
      </c>
      <c r="HU32" s="15">
        <v>2</v>
      </c>
      <c r="HV32" s="15">
        <v>4</v>
      </c>
      <c r="HW32" s="15">
        <v>3.25</v>
      </c>
      <c r="HX32" s="15">
        <v>2</v>
      </c>
      <c r="HY32" s="15">
        <v>3.25</v>
      </c>
      <c r="HZ32" s="15">
        <v>3.75</v>
      </c>
      <c r="IA32" s="15">
        <v>2.5</v>
      </c>
      <c r="IB32" s="15">
        <v>2</v>
      </c>
      <c r="IC32" s="15">
        <v>3.75</v>
      </c>
      <c r="ID32" s="15">
        <v>2.75</v>
      </c>
      <c r="IE32" s="15">
        <v>2.75</v>
      </c>
      <c r="IF32" s="15">
        <v>3.75</v>
      </c>
      <c r="IG32" s="15">
        <v>3.5</v>
      </c>
      <c r="IH32" s="15">
        <v>3.25</v>
      </c>
      <c r="II32" s="15">
        <v>3</v>
      </c>
      <c r="IJ32" s="15">
        <v>2.75</v>
      </c>
      <c r="IK32" s="15">
        <v>4</v>
      </c>
      <c r="IL32" s="15">
        <v>3.5</v>
      </c>
      <c r="IM32" s="15">
        <v>4.5</v>
      </c>
      <c r="IN32" s="15">
        <v>4.5</v>
      </c>
      <c r="IO32" s="15">
        <v>4</v>
      </c>
      <c r="IP32" s="15">
        <v>4.5</v>
      </c>
      <c r="IQ32" s="15">
        <v>4</v>
      </c>
      <c r="IR32" s="15">
        <v>3.25</v>
      </c>
      <c r="IS32" s="15">
        <v>4.5</v>
      </c>
      <c r="IT32" s="15">
        <v>4.5</v>
      </c>
      <c r="IU32" s="15">
        <v>3.5</v>
      </c>
      <c r="IV32" s="15">
        <v>3.5</v>
      </c>
      <c r="IW32" s="15">
        <v>4.25</v>
      </c>
      <c r="IX32" s="15">
        <v>4</v>
      </c>
      <c r="IY32" s="15">
        <v>2</v>
      </c>
      <c r="IZ32" s="15">
        <v>3.75</v>
      </c>
    </row>
    <row r="33" spans="1:260" s="12" customFormat="1" x14ac:dyDescent="0.3">
      <c r="A33" s="15">
        <v>34</v>
      </c>
      <c r="B33" s="15" t="s">
        <v>469</v>
      </c>
      <c r="C33" s="16">
        <v>27</v>
      </c>
      <c r="D33" s="15" t="s">
        <v>258</v>
      </c>
      <c r="E33" s="15" t="s">
        <v>259</v>
      </c>
      <c r="F33" s="15" t="s">
        <v>260</v>
      </c>
      <c r="G33" s="15" t="s">
        <v>353</v>
      </c>
      <c r="H33" s="15" t="s">
        <v>354</v>
      </c>
      <c r="I33" s="15" t="s">
        <v>270</v>
      </c>
      <c r="J33" s="15" t="s">
        <v>355</v>
      </c>
      <c r="K33" s="15" t="s">
        <v>277</v>
      </c>
      <c r="L33" s="15" t="s">
        <v>314</v>
      </c>
      <c r="M33" s="15" t="s">
        <v>356</v>
      </c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>
        <v>3</v>
      </c>
      <c r="AA33" s="15">
        <f>5/5</f>
        <v>1</v>
      </c>
      <c r="AB33" s="15">
        <v>5.1393420000000001</v>
      </c>
      <c r="AC33" s="15">
        <f>1.05*3</f>
        <v>3.1500000000000004</v>
      </c>
      <c r="AD33" s="15">
        <v>0</v>
      </c>
      <c r="AE33" s="15">
        <f t="shared" si="10"/>
        <v>1</v>
      </c>
      <c r="AF33" s="15">
        <v>22.96219</v>
      </c>
      <c r="AG33" s="15">
        <v>0</v>
      </c>
      <c r="AH33" s="15">
        <v>1</v>
      </c>
      <c r="AI33" s="15">
        <v>1</v>
      </c>
      <c r="AJ33" s="15">
        <f>3/5</f>
        <v>0.6</v>
      </c>
      <c r="AK33" s="15">
        <v>3</v>
      </c>
      <c r="AL33" s="15">
        <f>7/8</f>
        <v>0.875</v>
      </c>
      <c r="AM33" s="15">
        <v>25.523658000000001</v>
      </c>
      <c r="AN33" s="15">
        <f>1.1*3</f>
        <v>3.3000000000000003</v>
      </c>
      <c r="AO33" s="15"/>
      <c r="AP33" s="15"/>
      <c r="AQ33" s="15"/>
      <c r="AR33" s="15"/>
      <c r="AS33" s="15">
        <v>0</v>
      </c>
      <c r="AT33" s="15"/>
      <c r="AU33" s="15"/>
      <c r="AV33" s="15"/>
      <c r="AW33" s="15"/>
      <c r="AX33" s="15"/>
      <c r="AY33" s="15"/>
      <c r="AZ33" s="15">
        <v>0</v>
      </c>
      <c r="BA33" s="15">
        <f t="shared" si="6"/>
        <v>1</v>
      </c>
      <c r="BB33" s="15">
        <v>5.2804799999999998</v>
      </c>
      <c r="BC33" s="15">
        <v>0</v>
      </c>
      <c r="BD33" s="15">
        <v>0</v>
      </c>
      <c r="BE33" s="15"/>
      <c r="BF33" s="15"/>
      <c r="BG33" s="15"/>
      <c r="BH33" s="15"/>
      <c r="BI33" s="15"/>
      <c r="BJ33" s="15"/>
      <c r="BK33" s="15">
        <v>0</v>
      </c>
      <c r="BL33" s="15">
        <f t="shared" si="7"/>
        <v>1</v>
      </c>
      <c r="BM33" s="15">
        <v>9.4230370000000008</v>
      </c>
      <c r="BN33" s="15">
        <f>0</f>
        <v>0</v>
      </c>
      <c r="BO33" s="15"/>
      <c r="BP33" s="15"/>
      <c r="BQ33" s="15"/>
      <c r="BR33" s="15"/>
      <c r="BS33" s="15">
        <v>0</v>
      </c>
      <c r="BT33" s="15">
        <f t="shared" si="9"/>
        <v>1</v>
      </c>
      <c r="BU33" s="15">
        <v>15.398218</v>
      </c>
      <c r="BV33" s="15">
        <v>0</v>
      </c>
      <c r="BW33" s="15">
        <v>0</v>
      </c>
      <c r="BX33" s="15"/>
      <c r="BY33" s="15"/>
      <c r="BZ33" s="15"/>
      <c r="CA33" s="15"/>
      <c r="CB33" s="15"/>
      <c r="CC33" s="15"/>
      <c r="CD33" s="15">
        <v>0</v>
      </c>
      <c r="CE33" s="15">
        <f t="shared" si="11"/>
        <v>1</v>
      </c>
      <c r="CF33" s="15">
        <v>13.370111000000001</v>
      </c>
      <c r="CG33" s="15">
        <v>0.02</v>
      </c>
      <c r="CH33" s="15">
        <v>0</v>
      </c>
      <c r="CI33" s="15"/>
      <c r="CJ33" s="15"/>
      <c r="CK33" s="15">
        <f t="shared" si="0"/>
        <v>97.097036000000003</v>
      </c>
      <c r="CL33" s="15">
        <f>2/8</f>
        <v>0.25</v>
      </c>
      <c r="CM33" s="15">
        <v>2</v>
      </c>
      <c r="CN33" s="15">
        <v>1</v>
      </c>
      <c r="CO33" s="15">
        <f>Table1[[#This Row],[TotalTrapsRisked]]/5</f>
        <v>0.2</v>
      </c>
      <c r="CP33" s="15">
        <v>0</v>
      </c>
      <c r="CQ33" s="15">
        <v>0</v>
      </c>
      <c r="CR33" s="15">
        <v>1</v>
      </c>
      <c r="CS33" s="15">
        <v>1</v>
      </c>
      <c r="CT33" s="15">
        <v>2</v>
      </c>
      <c r="CU33" s="15">
        <v>368</v>
      </c>
      <c r="CV33" s="15">
        <v>1300</v>
      </c>
      <c r="CW33" s="15">
        <v>2</v>
      </c>
      <c r="CX33" s="15">
        <v>1</v>
      </c>
      <c r="CY33" s="15">
        <v>1</v>
      </c>
      <c r="CZ33" s="15">
        <v>3</v>
      </c>
      <c r="DA33" s="15">
        <v>284</v>
      </c>
      <c r="DB33" s="15">
        <v>1400</v>
      </c>
      <c r="DC33" s="15">
        <v>3</v>
      </c>
      <c r="DD33" s="15">
        <v>1</v>
      </c>
      <c r="DE33" s="15">
        <v>0</v>
      </c>
      <c r="DF33" s="15">
        <v>4</v>
      </c>
      <c r="DG33" s="15">
        <v>3</v>
      </c>
      <c r="DH33" s="15">
        <v>3</v>
      </c>
      <c r="DI33" s="15">
        <v>4</v>
      </c>
      <c r="DJ33" s="15">
        <v>4</v>
      </c>
      <c r="DK33" s="15">
        <v>4</v>
      </c>
      <c r="DL33" s="15">
        <v>2</v>
      </c>
      <c r="DM33" s="15">
        <v>4</v>
      </c>
      <c r="DN33" s="15">
        <v>3</v>
      </c>
      <c r="DO33" s="15">
        <v>5</v>
      </c>
      <c r="DP33" s="15">
        <v>2</v>
      </c>
      <c r="DQ33" s="15">
        <v>3</v>
      </c>
      <c r="DR33" s="15">
        <v>2</v>
      </c>
      <c r="DS33" s="15">
        <v>5</v>
      </c>
      <c r="DT33" s="15">
        <v>4</v>
      </c>
      <c r="DU33" s="15">
        <v>3</v>
      </c>
      <c r="DV33" s="15">
        <v>2</v>
      </c>
      <c r="DW33" s="15">
        <v>5</v>
      </c>
      <c r="DX33" s="15">
        <v>4</v>
      </c>
      <c r="DY33" s="15">
        <v>4</v>
      </c>
      <c r="DZ33" s="15">
        <v>4</v>
      </c>
      <c r="EA33" s="15">
        <v>2</v>
      </c>
      <c r="EB33" s="15">
        <v>4</v>
      </c>
      <c r="EC33" s="15">
        <v>1</v>
      </c>
      <c r="ED33" s="15">
        <v>3</v>
      </c>
      <c r="EE33" s="15">
        <v>2</v>
      </c>
      <c r="EF33" s="15">
        <v>1</v>
      </c>
      <c r="EG33" s="15">
        <v>4</v>
      </c>
      <c r="EH33" s="15">
        <v>3</v>
      </c>
      <c r="EI33" s="15">
        <v>1</v>
      </c>
      <c r="EJ33" s="15">
        <v>2</v>
      </c>
      <c r="EK33" s="15">
        <v>3</v>
      </c>
      <c r="EL33" s="15">
        <v>4</v>
      </c>
      <c r="EM33" s="15">
        <v>3</v>
      </c>
      <c r="EN33" s="15">
        <v>3</v>
      </c>
      <c r="EO33" s="15">
        <v>4</v>
      </c>
      <c r="EP33" s="15">
        <v>2</v>
      </c>
      <c r="EQ33" s="15">
        <v>1</v>
      </c>
      <c r="ER33" s="15">
        <v>1</v>
      </c>
      <c r="ES33" s="15">
        <v>2</v>
      </c>
      <c r="ET33" s="15">
        <v>1</v>
      </c>
      <c r="EU33" s="15">
        <v>5</v>
      </c>
      <c r="EV33" s="15">
        <v>5</v>
      </c>
      <c r="EW33" s="15">
        <v>5</v>
      </c>
      <c r="EX33" s="15">
        <v>4</v>
      </c>
      <c r="EY33" s="15">
        <v>5</v>
      </c>
      <c r="EZ33" s="15">
        <v>2</v>
      </c>
      <c r="FA33" s="15">
        <v>5</v>
      </c>
      <c r="FB33" s="15">
        <v>2</v>
      </c>
      <c r="FC33" s="15">
        <v>3</v>
      </c>
      <c r="FD33" s="15">
        <v>3</v>
      </c>
      <c r="FE33" s="15">
        <v>2</v>
      </c>
      <c r="FF33" s="15">
        <v>1</v>
      </c>
      <c r="FG33" s="15">
        <v>4</v>
      </c>
      <c r="FH33" s="15">
        <v>4</v>
      </c>
      <c r="FI33" s="15">
        <v>2</v>
      </c>
      <c r="FJ33" s="15">
        <v>5</v>
      </c>
      <c r="FK33" s="15">
        <v>3</v>
      </c>
      <c r="FL33" s="15">
        <v>3</v>
      </c>
      <c r="FM33" s="15">
        <v>4</v>
      </c>
      <c r="FN33" s="15">
        <v>2</v>
      </c>
      <c r="FO33" s="15">
        <v>3</v>
      </c>
      <c r="FP33" s="15">
        <v>2</v>
      </c>
      <c r="FQ33" s="15">
        <v>4</v>
      </c>
      <c r="FR33" s="15">
        <v>3</v>
      </c>
      <c r="FS33" s="15">
        <v>4</v>
      </c>
      <c r="FT33" s="15">
        <v>3</v>
      </c>
      <c r="FU33" s="15">
        <v>4</v>
      </c>
      <c r="FV33" s="15">
        <v>4</v>
      </c>
      <c r="FW33" s="15">
        <v>2</v>
      </c>
      <c r="FX33" s="15">
        <v>4</v>
      </c>
      <c r="FY33" s="15">
        <v>2</v>
      </c>
      <c r="FZ33" s="15">
        <v>4</v>
      </c>
      <c r="GA33" s="15">
        <v>2</v>
      </c>
      <c r="GB33" s="15">
        <v>1</v>
      </c>
      <c r="GC33" s="15">
        <v>2</v>
      </c>
      <c r="GD33" s="15">
        <v>3</v>
      </c>
      <c r="GE33" s="15">
        <v>4</v>
      </c>
      <c r="GF33" s="15">
        <v>3</v>
      </c>
      <c r="GG33" s="15">
        <v>2</v>
      </c>
      <c r="GH33" s="15">
        <v>3</v>
      </c>
      <c r="GI33" s="15">
        <v>2</v>
      </c>
      <c r="GJ33" s="15">
        <v>3</v>
      </c>
      <c r="GK33" s="15">
        <v>3</v>
      </c>
      <c r="GL33" s="15">
        <v>4</v>
      </c>
      <c r="GM33" s="15">
        <v>3</v>
      </c>
      <c r="GN33" s="15">
        <v>2</v>
      </c>
      <c r="GO33" s="15">
        <v>5</v>
      </c>
      <c r="GP33" s="15">
        <v>1</v>
      </c>
      <c r="GQ33" s="15">
        <v>2</v>
      </c>
      <c r="GR33" s="15">
        <v>2</v>
      </c>
      <c r="GS33" s="15">
        <v>4</v>
      </c>
      <c r="GT33" s="15">
        <v>2</v>
      </c>
      <c r="GU33" s="15">
        <v>3</v>
      </c>
      <c r="GV33" s="15">
        <v>2</v>
      </c>
      <c r="GW33" s="15">
        <v>3</v>
      </c>
      <c r="GX33" s="15">
        <v>1</v>
      </c>
      <c r="GY33" s="15">
        <v>3</v>
      </c>
      <c r="GZ33" s="15">
        <v>1</v>
      </c>
      <c r="HA33" s="15">
        <v>1</v>
      </c>
      <c r="HB33" s="15">
        <v>1</v>
      </c>
      <c r="HC33" s="15">
        <v>5</v>
      </c>
      <c r="HD33" s="15">
        <v>2</v>
      </c>
      <c r="HE33" s="15">
        <v>3</v>
      </c>
      <c r="HF33" s="15">
        <v>3</v>
      </c>
      <c r="HG33" s="15">
        <v>1</v>
      </c>
      <c r="HH33" s="15">
        <v>2</v>
      </c>
      <c r="HI33" s="15">
        <v>5</v>
      </c>
      <c r="HJ33" s="15">
        <v>4</v>
      </c>
      <c r="HK33" s="15">
        <v>1</v>
      </c>
      <c r="HL33" s="15">
        <v>2</v>
      </c>
      <c r="HM33" s="15">
        <v>5</v>
      </c>
      <c r="HN33" s="15">
        <v>2</v>
      </c>
      <c r="HO33" s="15">
        <v>1</v>
      </c>
      <c r="HP33" s="15">
        <v>1</v>
      </c>
      <c r="HQ33" s="15">
        <v>3</v>
      </c>
      <c r="HR33" s="15">
        <v>3</v>
      </c>
      <c r="HS33" s="15">
        <v>5</v>
      </c>
      <c r="HT33" s="15">
        <v>3</v>
      </c>
      <c r="HU33" s="15">
        <v>3</v>
      </c>
      <c r="HV33" s="15">
        <v>1</v>
      </c>
      <c r="HW33" s="15">
        <v>3.25</v>
      </c>
      <c r="HX33" s="15">
        <v>4</v>
      </c>
      <c r="HY33" s="15">
        <v>4.25</v>
      </c>
      <c r="HZ33" s="15">
        <v>3.5</v>
      </c>
      <c r="IA33" s="15">
        <v>3.25</v>
      </c>
      <c r="IB33" s="15">
        <v>4</v>
      </c>
      <c r="IC33" s="15">
        <v>3</v>
      </c>
      <c r="ID33" s="15">
        <v>4.25</v>
      </c>
      <c r="IE33" s="15">
        <v>1.5</v>
      </c>
      <c r="IF33" s="15">
        <v>3.75</v>
      </c>
      <c r="IG33" s="15">
        <v>3</v>
      </c>
      <c r="IH33" s="15">
        <v>2.25</v>
      </c>
      <c r="II33" s="15">
        <v>3.25</v>
      </c>
      <c r="IJ33" s="15">
        <v>2.5</v>
      </c>
      <c r="IK33" s="15">
        <v>4</v>
      </c>
      <c r="IL33" s="15">
        <v>2.25</v>
      </c>
      <c r="IM33" s="15">
        <v>2.25</v>
      </c>
      <c r="IN33" s="15">
        <v>4</v>
      </c>
      <c r="IO33" s="15">
        <v>3</v>
      </c>
      <c r="IP33" s="15">
        <v>3</v>
      </c>
      <c r="IQ33" s="15">
        <v>3.5</v>
      </c>
      <c r="IR33" s="15">
        <v>2.75</v>
      </c>
      <c r="IS33" s="15">
        <v>4.25</v>
      </c>
      <c r="IT33" s="15">
        <v>3.75</v>
      </c>
      <c r="IU33" s="15">
        <v>3.75</v>
      </c>
      <c r="IV33" s="15">
        <v>4.25</v>
      </c>
      <c r="IW33" s="15">
        <v>4.5</v>
      </c>
      <c r="IX33" s="15">
        <v>3.75</v>
      </c>
      <c r="IY33" s="15">
        <v>3.5</v>
      </c>
      <c r="IZ33" s="15">
        <v>3.25</v>
      </c>
    </row>
    <row r="34" spans="1:260" s="12" customFormat="1" x14ac:dyDescent="0.3">
      <c r="A34" s="15">
        <v>35</v>
      </c>
      <c r="B34" s="15" t="s">
        <v>468</v>
      </c>
      <c r="C34" s="16">
        <v>55</v>
      </c>
      <c r="D34" s="15" t="s">
        <v>288</v>
      </c>
      <c r="E34" s="15" t="s">
        <v>289</v>
      </c>
      <c r="F34" s="15" t="s">
        <v>290</v>
      </c>
      <c r="G34" s="15" t="s">
        <v>268</v>
      </c>
      <c r="H34" s="15" t="s">
        <v>316</v>
      </c>
      <c r="I34" s="15" t="s">
        <v>270</v>
      </c>
      <c r="J34" s="15" t="s">
        <v>357</v>
      </c>
      <c r="K34" s="15" t="s">
        <v>328</v>
      </c>
      <c r="L34" s="15" t="s">
        <v>295</v>
      </c>
      <c r="M34" s="15" t="s">
        <v>358</v>
      </c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>
        <v>0</v>
      </c>
      <c r="AE34" s="15">
        <f t="shared" si="10"/>
        <v>1</v>
      </c>
      <c r="AF34" s="15">
        <v>11.289387000000001</v>
      </c>
      <c r="AG34" s="15">
        <f>0</f>
        <v>0</v>
      </c>
      <c r="AH34" s="15">
        <v>1</v>
      </c>
      <c r="AI34" s="15">
        <v>0</v>
      </c>
      <c r="AJ34" s="15">
        <f>5/5</f>
        <v>1</v>
      </c>
      <c r="AK34" s="15">
        <v>2</v>
      </c>
      <c r="AL34" s="15">
        <f>7/8</f>
        <v>0.875</v>
      </c>
      <c r="AM34" s="15">
        <v>22.536137</v>
      </c>
      <c r="AN34" s="15">
        <f>1.1*2</f>
        <v>2.2000000000000002</v>
      </c>
      <c r="AO34" s="15"/>
      <c r="AP34" s="15"/>
      <c r="AQ34" s="15"/>
      <c r="AR34" s="15"/>
      <c r="AS34" s="15">
        <v>0</v>
      </c>
      <c r="AT34" s="15"/>
      <c r="AU34" s="15"/>
      <c r="AV34" s="15">
        <v>0</v>
      </c>
      <c r="AW34" s="15">
        <f>3/4</f>
        <v>0.75</v>
      </c>
      <c r="AX34" s="15">
        <v>7.5828429999999996</v>
      </c>
      <c r="AY34" s="15">
        <v>0.495</v>
      </c>
      <c r="AZ34" s="15"/>
      <c r="BA34" s="15"/>
      <c r="BB34" s="15"/>
      <c r="BC34" s="15"/>
      <c r="BD34" s="15">
        <v>0</v>
      </c>
      <c r="BE34" s="15"/>
      <c r="BF34" s="15"/>
      <c r="BG34" s="15"/>
      <c r="BH34" s="15"/>
      <c r="BI34" s="15"/>
      <c r="BJ34" s="15"/>
      <c r="BK34" s="15">
        <v>0</v>
      </c>
      <c r="BL34" s="15">
        <f t="shared" si="7"/>
        <v>1</v>
      </c>
      <c r="BM34" s="15">
        <v>9.9564689999999985</v>
      </c>
      <c r="BN34" s="15">
        <f>0</f>
        <v>0</v>
      </c>
      <c r="BO34" s="15"/>
      <c r="BP34" s="15"/>
      <c r="BQ34" s="15"/>
      <c r="BR34" s="15"/>
      <c r="BS34" s="15">
        <v>0</v>
      </c>
      <c r="BT34" s="15">
        <f t="shared" si="9"/>
        <v>1</v>
      </c>
      <c r="BU34" s="15">
        <v>7.6869959999999997</v>
      </c>
      <c r="BV34" s="15">
        <f>0</f>
        <v>0</v>
      </c>
      <c r="BW34" s="15">
        <v>0</v>
      </c>
      <c r="BX34" s="15"/>
      <c r="BY34" s="15"/>
      <c r="BZ34" s="15"/>
      <c r="CA34" s="15"/>
      <c r="CB34" s="15"/>
      <c r="CC34" s="15"/>
      <c r="CD34" s="15">
        <v>0</v>
      </c>
      <c r="CE34" s="15">
        <f t="shared" si="11"/>
        <v>1</v>
      </c>
      <c r="CF34" s="15">
        <v>16.591798999999998</v>
      </c>
      <c r="CG34" s="15">
        <v>0.04</v>
      </c>
      <c r="CH34" s="15">
        <v>1</v>
      </c>
      <c r="CI34" s="15">
        <v>0</v>
      </c>
      <c r="CJ34" s="15">
        <f>6/6</f>
        <v>1</v>
      </c>
      <c r="CK34" s="15">
        <f t="shared" ref="CK34:CK65" si="12">SUM(P34,T34,X34,AB34,AF34,AM34,AQ34,AX34,BB34,BI34,BM34,BQ34,BU34,CB34,CF34)</f>
        <v>75.643630999999999</v>
      </c>
      <c r="CL34" s="15">
        <f>2/8</f>
        <v>0.25</v>
      </c>
      <c r="CM34" s="15">
        <v>0</v>
      </c>
      <c r="CN34" s="15">
        <v>2</v>
      </c>
      <c r="CO34" s="15">
        <f>Table1[[#This Row],[TotalTrapsRisked]]/5</f>
        <v>0.4</v>
      </c>
      <c r="CP34" s="15">
        <v>0</v>
      </c>
      <c r="CQ34" s="15">
        <v>0</v>
      </c>
      <c r="CR34" s="15">
        <v>0.35416666666666669</v>
      </c>
      <c r="CS34" s="15">
        <v>0.48181818181818181</v>
      </c>
      <c r="CT34" s="15">
        <v>1</v>
      </c>
      <c r="CU34" s="15">
        <v>233</v>
      </c>
      <c r="CV34" s="15">
        <v>630</v>
      </c>
      <c r="CW34" s="15">
        <v>1</v>
      </c>
      <c r="CX34" s="15"/>
      <c r="CY34" s="15"/>
      <c r="CZ34" s="15"/>
      <c r="DA34" s="15"/>
      <c r="DB34" s="15"/>
      <c r="DC34" s="15"/>
      <c r="DD34" s="15">
        <v>0</v>
      </c>
      <c r="DE34" s="15">
        <v>0</v>
      </c>
      <c r="DF34" s="15">
        <v>5</v>
      </c>
      <c r="DG34" s="15">
        <v>4</v>
      </c>
      <c r="DH34" s="15">
        <v>4</v>
      </c>
      <c r="DI34" s="15">
        <v>4</v>
      </c>
      <c r="DJ34" s="15">
        <v>5</v>
      </c>
      <c r="DK34" s="15">
        <v>3</v>
      </c>
      <c r="DL34" s="15">
        <v>2</v>
      </c>
      <c r="DM34" s="15">
        <v>4</v>
      </c>
      <c r="DN34" s="15">
        <v>1</v>
      </c>
      <c r="DO34" s="15">
        <v>5</v>
      </c>
      <c r="DP34" s="15">
        <v>2</v>
      </c>
      <c r="DQ34" s="15">
        <v>4</v>
      </c>
      <c r="DR34" s="15">
        <v>4</v>
      </c>
      <c r="DS34" s="15">
        <v>4</v>
      </c>
      <c r="DT34" s="15">
        <v>5</v>
      </c>
      <c r="DU34" s="15">
        <v>4</v>
      </c>
      <c r="DV34" s="15">
        <v>2</v>
      </c>
      <c r="DW34" s="15">
        <v>2</v>
      </c>
      <c r="DX34" s="15">
        <v>2</v>
      </c>
      <c r="DY34" s="15">
        <v>4</v>
      </c>
      <c r="DZ34" s="15">
        <v>2</v>
      </c>
      <c r="EA34" s="15">
        <v>4</v>
      </c>
      <c r="EB34" s="15">
        <v>4</v>
      </c>
      <c r="EC34" s="15">
        <v>1</v>
      </c>
      <c r="ED34" s="15">
        <v>3</v>
      </c>
      <c r="EE34" s="15">
        <v>2</v>
      </c>
      <c r="EF34" s="15">
        <v>5</v>
      </c>
      <c r="EG34" s="15">
        <v>3</v>
      </c>
      <c r="EH34" s="15">
        <v>4</v>
      </c>
      <c r="EI34" s="15">
        <v>2</v>
      </c>
      <c r="EJ34" s="15">
        <v>2</v>
      </c>
      <c r="EK34" s="15">
        <v>3</v>
      </c>
      <c r="EL34" s="15">
        <v>4</v>
      </c>
      <c r="EM34" s="15">
        <v>4</v>
      </c>
      <c r="EN34" s="15">
        <v>4</v>
      </c>
      <c r="EO34" s="15">
        <v>2</v>
      </c>
      <c r="EP34" s="15">
        <v>2</v>
      </c>
      <c r="EQ34" s="15">
        <v>3</v>
      </c>
      <c r="ER34" s="15">
        <v>1</v>
      </c>
      <c r="ES34" s="15">
        <v>1</v>
      </c>
      <c r="ET34" s="15">
        <v>2</v>
      </c>
      <c r="EU34" s="15">
        <v>2</v>
      </c>
      <c r="EV34" s="15">
        <v>4</v>
      </c>
      <c r="EW34" s="15">
        <v>4</v>
      </c>
      <c r="EX34" s="15">
        <v>5</v>
      </c>
      <c r="EY34" s="15">
        <v>2</v>
      </c>
      <c r="EZ34" s="15">
        <v>5</v>
      </c>
      <c r="FA34" s="15">
        <v>4</v>
      </c>
      <c r="FB34" s="15">
        <v>2</v>
      </c>
      <c r="FC34" s="15">
        <v>4</v>
      </c>
      <c r="FD34" s="15">
        <v>4</v>
      </c>
      <c r="FE34" s="15">
        <v>3</v>
      </c>
      <c r="FF34" s="15">
        <v>2</v>
      </c>
      <c r="FG34" s="15">
        <v>2</v>
      </c>
      <c r="FH34" s="15">
        <v>4</v>
      </c>
      <c r="FI34" s="15">
        <v>2</v>
      </c>
      <c r="FJ34" s="15">
        <v>4</v>
      </c>
      <c r="FK34" s="15">
        <v>4</v>
      </c>
      <c r="FL34" s="15">
        <v>4</v>
      </c>
      <c r="FM34" s="15">
        <v>2</v>
      </c>
      <c r="FN34" s="15">
        <v>2</v>
      </c>
      <c r="FO34" s="15">
        <v>2</v>
      </c>
      <c r="FP34" s="15">
        <v>4</v>
      </c>
      <c r="FQ34" s="15">
        <v>4</v>
      </c>
      <c r="FR34" s="15">
        <v>4</v>
      </c>
      <c r="FS34" s="15">
        <v>2</v>
      </c>
      <c r="FT34" s="15">
        <v>4</v>
      </c>
      <c r="FU34" s="15">
        <v>2</v>
      </c>
      <c r="FV34" s="15">
        <v>4</v>
      </c>
      <c r="FW34" s="15">
        <v>2</v>
      </c>
      <c r="FX34" s="15">
        <v>1</v>
      </c>
      <c r="FY34" s="15">
        <v>2</v>
      </c>
      <c r="FZ34" s="15">
        <v>4</v>
      </c>
      <c r="GA34" s="15">
        <v>2</v>
      </c>
      <c r="GB34" s="15">
        <v>2</v>
      </c>
      <c r="GC34" s="15">
        <v>1</v>
      </c>
      <c r="GD34" s="15">
        <v>4</v>
      </c>
      <c r="GE34" s="15">
        <v>3</v>
      </c>
      <c r="GF34" s="15">
        <v>4</v>
      </c>
      <c r="GG34" s="15">
        <v>1</v>
      </c>
      <c r="GH34" s="15">
        <v>2</v>
      </c>
      <c r="GI34" s="15">
        <v>4</v>
      </c>
      <c r="GJ34" s="15">
        <v>2</v>
      </c>
      <c r="GK34" s="15">
        <v>2</v>
      </c>
      <c r="GL34" s="15">
        <v>3</v>
      </c>
      <c r="GM34" s="15">
        <v>3</v>
      </c>
      <c r="GN34" s="15">
        <v>2</v>
      </c>
      <c r="GO34" s="15">
        <v>5</v>
      </c>
      <c r="GP34" s="15">
        <v>3</v>
      </c>
      <c r="GQ34" s="15">
        <v>2</v>
      </c>
      <c r="GR34" s="15">
        <v>2</v>
      </c>
      <c r="GS34" s="15">
        <v>2</v>
      </c>
      <c r="GT34" s="15">
        <v>2</v>
      </c>
      <c r="GU34" s="15">
        <v>2</v>
      </c>
      <c r="GV34" s="15">
        <v>2</v>
      </c>
      <c r="GW34" s="15">
        <v>3</v>
      </c>
      <c r="GX34" s="15">
        <v>4</v>
      </c>
      <c r="GY34" s="15">
        <v>4</v>
      </c>
      <c r="GZ34" s="15">
        <v>2</v>
      </c>
      <c r="HA34" s="15">
        <v>2</v>
      </c>
      <c r="HB34" s="15">
        <v>2</v>
      </c>
      <c r="HC34" s="15">
        <v>4</v>
      </c>
      <c r="HD34" s="15">
        <v>3</v>
      </c>
      <c r="HE34" s="15">
        <v>2</v>
      </c>
      <c r="HF34" s="15">
        <v>2</v>
      </c>
      <c r="HG34" s="15">
        <v>1</v>
      </c>
      <c r="HH34" s="15">
        <v>2</v>
      </c>
      <c r="HI34" s="15">
        <v>4</v>
      </c>
      <c r="HJ34" s="15">
        <v>3</v>
      </c>
      <c r="HK34" s="15">
        <v>1</v>
      </c>
      <c r="HL34" s="15">
        <v>1</v>
      </c>
      <c r="HM34" s="15">
        <v>4</v>
      </c>
      <c r="HN34" s="15">
        <v>1</v>
      </c>
      <c r="HO34" s="15">
        <v>4</v>
      </c>
      <c r="HP34" s="15">
        <v>2</v>
      </c>
      <c r="HQ34" s="15">
        <v>2</v>
      </c>
      <c r="HR34" s="15">
        <v>4</v>
      </c>
      <c r="HS34" s="15">
        <v>4</v>
      </c>
      <c r="HT34" s="15">
        <v>3</v>
      </c>
      <c r="HU34" s="15">
        <v>2</v>
      </c>
      <c r="HV34" s="15">
        <v>2</v>
      </c>
      <c r="HW34" s="15">
        <v>4</v>
      </c>
      <c r="HX34" s="15">
        <v>4.75</v>
      </c>
      <c r="HY34" s="15">
        <v>5</v>
      </c>
      <c r="HZ34" s="15">
        <v>4.25</v>
      </c>
      <c r="IA34" s="15">
        <v>3.5</v>
      </c>
      <c r="IB34" s="15">
        <v>4</v>
      </c>
      <c r="IC34" s="15">
        <v>2.75</v>
      </c>
      <c r="ID34" s="15">
        <v>2.25</v>
      </c>
      <c r="IE34" s="15">
        <v>2</v>
      </c>
      <c r="IF34" s="15">
        <v>3.5</v>
      </c>
      <c r="IG34" s="15">
        <v>2</v>
      </c>
      <c r="IH34" s="15">
        <v>2</v>
      </c>
      <c r="II34" s="15">
        <v>3.75</v>
      </c>
      <c r="IJ34" s="15">
        <v>2</v>
      </c>
      <c r="IK34" s="15">
        <v>3.25</v>
      </c>
      <c r="IL34" s="15">
        <v>3</v>
      </c>
      <c r="IM34" s="15">
        <v>2.5</v>
      </c>
      <c r="IN34" s="15">
        <v>4.5</v>
      </c>
      <c r="IO34" s="15">
        <v>3.5</v>
      </c>
      <c r="IP34" s="15">
        <v>3.75</v>
      </c>
      <c r="IQ34" s="15">
        <v>4</v>
      </c>
      <c r="IR34" s="15">
        <v>2.25</v>
      </c>
      <c r="IS34" s="15">
        <v>3.5</v>
      </c>
      <c r="IT34" s="15">
        <v>3.25</v>
      </c>
      <c r="IU34" s="15">
        <v>4</v>
      </c>
      <c r="IV34" s="15">
        <v>4.5</v>
      </c>
      <c r="IW34" s="15">
        <v>4</v>
      </c>
      <c r="IX34" s="15">
        <v>4.5</v>
      </c>
      <c r="IY34" s="15">
        <v>4</v>
      </c>
      <c r="IZ34" s="15">
        <v>4</v>
      </c>
    </row>
    <row r="35" spans="1:260" s="12" customFormat="1" x14ac:dyDescent="0.3">
      <c r="A35" s="15">
        <v>36</v>
      </c>
      <c r="B35" s="15" t="s">
        <v>469</v>
      </c>
      <c r="C35" s="16">
        <v>24</v>
      </c>
      <c r="D35" s="15" t="s">
        <v>288</v>
      </c>
      <c r="E35" s="15" t="s">
        <v>259</v>
      </c>
      <c r="F35" s="15" t="s">
        <v>260</v>
      </c>
      <c r="G35" s="15" t="s">
        <v>268</v>
      </c>
      <c r="H35" s="15" t="s">
        <v>262</v>
      </c>
      <c r="I35" s="15" t="s">
        <v>275</v>
      </c>
      <c r="J35" s="15" t="s">
        <v>359</v>
      </c>
      <c r="K35" s="15" t="s">
        <v>265</v>
      </c>
      <c r="L35" s="15" t="s">
        <v>281</v>
      </c>
      <c r="M35" s="15" t="s">
        <v>296</v>
      </c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>
        <v>1</v>
      </c>
      <c r="AA35" s="15">
        <f>1/5</f>
        <v>0.2</v>
      </c>
      <c r="AB35" s="15"/>
      <c r="AC35" s="15">
        <f>1.05</f>
        <v>1.05</v>
      </c>
      <c r="AD35" s="15">
        <v>0</v>
      </c>
      <c r="AE35" s="15">
        <f t="shared" si="10"/>
        <v>1</v>
      </c>
      <c r="AF35" s="15">
        <v>3.9304270000000003</v>
      </c>
      <c r="AG35" s="15">
        <v>0</v>
      </c>
      <c r="AH35" s="15">
        <v>0</v>
      </c>
      <c r="AI35" s="15"/>
      <c r="AJ35" s="15"/>
      <c r="AK35" s="15">
        <v>2</v>
      </c>
      <c r="AL35" s="15">
        <f>1/8</f>
        <v>0.125</v>
      </c>
      <c r="AM35" s="15"/>
      <c r="AN35" s="15">
        <f>1.1*2</f>
        <v>2.2000000000000002</v>
      </c>
      <c r="AO35" s="15">
        <v>0</v>
      </c>
      <c r="AP35" s="15">
        <f>3/3</f>
        <v>1</v>
      </c>
      <c r="AQ35" s="15">
        <v>7.937011</v>
      </c>
      <c r="AR35" s="15">
        <v>7.0000000000000007E-2</v>
      </c>
      <c r="AS35" s="15">
        <v>0</v>
      </c>
      <c r="AT35" s="15"/>
      <c r="AU35" s="15"/>
      <c r="AV35" s="15"/>
      <c r="AW35" s="15"/>
      <c r="AX35" s="15"/>
      <c r="AY35" s="15"/>
      <c r="AZ35" s="15">
        <v>0</v>
      </c>
      <c r="BA35" s="15">
        <f t="shared" ref="BA35:BA40" si="13">2/2</f>
        <v>1</v>
      </c>
      <c r="BB35" s="15">
        <v>6.7657860000000003</v>
      </c>
      <c r="BC35" s="15">
        <v>0</v>
      </c>
      <c r="BD35" s="15">
        <v>0</v>
      </c>
      <c r="BE35" s="15"/>
      <c r="BF35" s="15"/>
      <c r="BG35" s="15"/>
      <c r="BH35" s="15"/>
      <c r="BI35" s="15"/>
      <c r="BJ35" s="15"/>
      <c r="BK35" s="15">
        <v>0</v>
      </c>
      <c r="BL35" s="15">
        <f t="shared" si="7"/>
        <v>1</v>
      </c>
      <c r="BM35" s="15">
        <v>9.596487999999999</v>
      </c>
      <c r="BN35" s="15">
        <f>0</f>
        <v>0</v>
      </c>
      <c r="BO35" s="15"/>
      <c r="BP35" s="15"/>
      <c r="BQ35" s="15"/>
      <c r="BR35" s="15"/>
      <c r="BS35" s="15">
        <v>0</v>
      </c>
      <c r="BT35" s="15">
        <f t="shared" si="9"/>
        <v>1</v>
      </c>
      <c r="BU35" s="15">
        <v>18.471491</v>
      </c>
      <c r="BV35" s="15">
        <v>0</v>
      </c>
      <c r="BW35" s="15">
        <v>1</v>
      </c>
      <c r="BX35" s="15">
        <v>0</v>
      </c>
      <c r="BY35" s="15">
        <f>4/6</f>
        <v>0.66666666666666663</v>
      </c>
      <c r="BZ35" s="15"/>
      <c r="CA35" s="15"/>
      <c r="CB35" s="15"/>
      <c r="CC35" s="15"/>
      <c r="CD35" s="15">
        <v>0</v>
      </c>
      <c r="CE35" s="15">
        <f t="shared" si="11"/>
        <v>1</v>
      </c>
      <c r="CF35" s="15">
        <v>12.641135</v>
      </c>
      <c r="CG35" s="15">
        <v>0.24249999999999999</v>
      </c>
      <c r="CH35" s="15">
        <v>0</v>
      </c>
      <c r="CI35" s="15"/>
      <c r="CJ35" s="15"/>
      <c r="CK35" s="15">
        <f t="shared" si="12"/>
        <v>59.342337999999998</v>
      </c>
      <c r="CL35" s="15">
        <f>2/8</f>
        <v>0.25</v>
      </c>
      <c r="CM35" s="15">
        <v>0</v>
      </c>
      <c r="CN35" s="15">
        <v>1</v>
      </c>
      <c r="CO35" s="15">
        <f>Table1[[#This Row],[TotalTrapsRisked]]/5</f>
        <v>0.2</v>
      </c>
      <c r="CP35" s="15">
        <v>0</v>
      </c>
      <c r="CQ35" s="15">
        <v>0</v>
      </c>
      <c r="CR35" s="15">
        <v>6.25E-2</v>
      </c>
      <c r="CS35" s="15">
        <v>0.2</v>
      </c>
      <c r="CT35" s="15">
        <v>0</v>
      </c>
      <c r="CU35" s="15">
        <v>115</v>
      </c>
      <c r="CV35" s="15">
        <v>220</v>
      </c>
      <c r="CW35" s="15">
        <v>0</v>
      </c>
      <c r="CX35" s="15"/>
      <c r="CY35" s="15"/>
      <c r="CZ35" s="15"/>
      <c r="DA35" s="15"/>
      <c r="DB35" s="15"/>
      <c r="DC35" s="15"/>
      <c r="DD35" s="15">
        <v>0</v>
      </c>
      <c r="DE35" s="15">
        <v>0</v>
      </c>
      <c r="DF35" s="15">
        <v>5</v>
      </c>
      <c r="DG35" s="15">
        <v>4</v>
      </c>
      <c r="DH35" s="15">
        <v>4</v>
      </c>
      <c r="DI35" s="15">
        <v>4</v>
      </c>
      <c r="DJ35" s="15">
        <v>4</v>
      </c>
      <c r="DK35" s="15">
        <v>3</v>
      </c>
      <c r="DL35" s="15">
        <v>4</v>
      </c>
      <c r="DM35" s="15">
        <v>4</v>
      </c>
      <c r="DN35" s="15">
        <v>2</v>
      </c>
      <c r="DO35" s="15">
        <v>1</v>
      </c>
      <c r="DP35" s="15">
        <v>2</v>
      </c>
      <c r="DQ35" s="15">
        <v>2</v>
      </c>
      <c r="DR35" s="15">
        <v>5</v>
      </c>
      <c r="DS35" s="15">
        <v>4</v>
      </c>
      <c r="DT35" s="15">
        <v>4</v>
      </c>
      <c r="DU35" s="15">
        <v>2</v>
      </c>
      <c r="DV35" s="15">
        <v>3</v>
      </c>
      <c r="DW35" s="15">
        <v>2</v>
      </c>
      <c r="DX35" s="15">
        <v>3</v>
      </c>
      <c r="DY35" s="15">
        <v>4</v>
      </c>
      <c r="DZ35" s="15">
        <v>4</v>
      </c>
      <c r="EA35" s="15">
        <v>4</v>
      </c>
      <c r="EB35" s="15">
        <v>2</v>
      </c>
      <c r="EC35" s="15">
        <v>2</v>
      </c>
      <c r="ED35" s="15">
        <v>5</v>
      </c>
      <c r="EE35" s="15">
        <v>5</v>
      </c>
      <c r="EF35" s="15">
        <v>4</v>
      </c>
      <c r="EG35" s="15">
        <v>5</v>
      </c>
      <c r="EH35" s="15">
        <v>5</v>
      </c>
      <c r="EI35" s="15">
        <v>2</v>
      </c>
      <c r="EJ35" s="15">
        <v>5</v>
      </c>
      <c r="EK35" s="15">
        <v>4</v>
      </c>
      <c r="EL35" s="15">
        <v>5</v>
      </c>
      <c r="EM35" s="15">
        <v>4</v>
      </c>
      <c r="EN35" s="15">
        <v>2</v>
      </c>
      <c r="EO35" s="15">
        <v>5</v>
      </c>
      <c r="EP35" s="15">
        <v>5</v>
      </c>
      <c r="EQ35" s="15">
        <v>3</v>
      </c>
      <c r="ER35" s="15">
        <v>2</v>
      </c>
      <c r="ES35" s="15">
        <v>2</v>
      </c>
      <c r="ET35" s="15">
        <v>2</v>
      </c>
      <c r="EU35" s="15">
        <v>4</v>
      </c>
      <c r="EV35" s="15">
        <v>4</v>
      </c>
      <c r="EW35" s="15">
        <v>5</v>
      </c>
      <c r="EX35" s="15">
        <v>4</v>
      </c>
      <c r="EY35" s="15">
        <v>4</v>
      </c>
      <c r="EZ35" s="15">
        <v>2</v>
      </c>
      <c r="FA35" s="15">
        <v>4</v>
      </c>
      <c r="FB35" s="15">
        <v>5</v>
      </c>
      <c r="FC35" s="15">
        <v>4</v>
      </c>
      <c r="FD35" s="15">
        <v>3</v>
      </c>
      <c r="FE35" s="15">
        <v>2</v>
      </c>
      <c r="FF35" s="15">
        <v>2</v>
      </c>
      <c r="FG35" s="15">
        <v>3</v>
      </c>
      <c r="FH35" s="15">
        <v>2</v>
      </c>
      <c r="FI35" s="15">
        <v>2</v>
      </c>
      <c r="FJ35" s="15">
        <v>3</v>
      </c>
      <c r="FK35" s="15">
        <v>2</v>
      </c>
      <c r="FL35" s="15">
        <v>5</v>
      </c>
      <c r="FM35" s="15">
        <v>5</v>
      </c>
      <c r="FN35" s="15">
        <v>4</v>
      </c>
      <c r="FO35" s="15">
        <v>2</v>
      </c>
      <c r="FP35" s="15">
        <v>4</v>
      </c>
      <c r="FQ35" s="15">
        <v>4</v>
      </c>
      <c r="FR35" s="15">
        <v>3</v>
      </c>
      <c r="FS35" s="15">
        <v>5</v>
      </c>
      <c r="FT35" s="15">
        <v>3</v>
      </c>
      <c r="FU35" s="15">
        <v>3</v>
      </c>
      <c r="FV35" s="15">
        <v>4</v>
      </c>
      <c r="FW35" s="15">
        <v>2</v>
      </c>
      <c r="FX35" s="15">
        <v>4</v>
      </c>
      <c r="FY35" s="15">
        <v>3</v>
      </c>
      <c r="FZ35" s="15">
        <v>4</v>
      </c>
      <c r="GA35" s="15">
        <v>2</v>
      </c>
      <c r="GB35" s="15">
        <v>1</v>
      </c>
      <c r="GC35" s="15">
        <v>4</v>
      </c>
      <c r="GD35" s="15">
        <v>2</v>
      </c>
      <c r="GE35" s="15">
        <v>2</v>
      </c>
      <c r="GF35" s="15">
        <v>3</v>
      </c>
      <c r="GG35" s="15">
        <v>4</v>
      </c>
      <c r="GH35" s="15">
        <v>2</v>
      </c>
      <c r="GI35" s="15">
        <v>2</v>
      </c>
      <c r="GJ35" s="15">
        <v>2</v>
      </c>
      <c r="GK35" s="15">
        <v>3</v>
      </c>
      <c r="GL35" s="15">
        <v>2</v>
      </c>
      <c r="GM35" s="15">
        <v>4</v>
      </c>
      <c r="GN35" s="15">
        <v>5</v>
      </c>
      <c r="GO35" s="15">
        <v>4</v>
      </c>
      <c r="GP35" s="15">
        <v>1</v>
      </c>
      <c r="GQ35" s="15">
        <v>1</v>
      </c>
      <c r="GR35" s="15">
        <v>2</v>
      </c>
      <c r="GS35" s="15">
        <v>5</v>
      </c>
      <c r="GT35" s="15">
        <v>2</v>
      </c>
      <c r="GU35" s="15">
        <v>4</v>
      </c>
      <c r="GV35" s="15">
        <v>3</v>
      </c>
      <c r="GW35" s="15">
        <v>2</v>
      </c>
      <c r="GX35" s="15">
        <v>1</v>
      </c>
      <c r="GY35" s="15">
        <v>2</v>
      </c>
      <c r="GZ35" s="15">
        <v>4</v>
      </c>
      <c r="HA35" s="15">
        <v>2</v>
      </c>
      <c r="HB35" s="15">
        <v>4</v>
      </c>
      <c r="HC35" s="15">
        <v>2</v>
      </c>
      <c r="HD35" s="15">
        <v>2</v>
      </c>
      <c r="HE35" s="15">
        <v>2</v>
      </c>
      <c r="HF35" s="15">
        <v>2</v>
      </c>
      <c r="HG35" s="15">
        <v>2</v>
      </c>
      <c r="HH35" s="15">
        <v>2</v>
      </c>
      <c r="HI35" s="15">
        <v>4</v>
      </c>
      <c r="HJ35" s="15">
        <v>2</v>
      </c>
      <c r="HK35" s="15">
        <v>3</v>
      </c>
      <c r="HL35" s="15">
        <v>1</v>
      </c>
      <c r="HM35" s="15">
        <v>3</v>
      </c>
      <c r="HN35" s="15">
        <v>2</v>
      </c>
      <c r="HO35" s="15">
        <v>2</v>
      </c>
      <c r="HP35" s="15">
        <v>3</v>
      </c>
      <c r="HQ35" s="15">
        <v>5</v>
      </c>
      <c r="HR35" s="15">
        <v>1</v>
      </c>
      <c r="HS35" s="15">
        <v>4</v>
      </c>
      <c r="HT35" s="15">
        <v>1</v>
      </c>
      <c r="HU35" s="15">
        <v>2</v>
      </c>
      <c r="HV35" s="15">
        <v>3</v>
      </c>
      <c r="HW35" s="15">
        <v>2.75</v>
      </c>
      <c r="HX35" s="15">
        <v>2.25</v>
      </c>
      <c r="HY35" s="15">
        <v>3.5</v>
      </c>
      <c r="HZ35" s="15">
        <v>4.25</v>
      </c>
      <c r="IA35" s="15">
        <v>2.5</v>
      </c>
      <c r="IB35" s="15">
        <v>3</v>
      </c>
      <c r="IC35" s="15">
        <v>4.75</v>
      </c>
      <c r="ID35" s="15">
        <v>4.5</v>
      </c>
      <c r="IE35" s="15">
        <v>2.75</v>
      </c>
      <c r="IF35" s="15">
        <v>3</v>
      </c>
      <c r="IG35" s="15">
        <v>3.5</v>
      </c>
      <c r="IH35" s="15">
        <v>4.25</v>
      </c>
      <c r="II35" s="15">
        <v>4</v>
      </c>
      <c r="IJ35" s="15">
        <v>4</v>
      </c>
      <c r="IK35" s="15">
        <v>3.5</v>
      </c>
      <c r="IL35" s="15">
        <v>2.25</v>
      </c>
      <c r="IM35" s="15">
        <v>2.5</v>
      </c>
      <c r="IN35" s="15">
        <v>3.75</v>
      </c>
      <c r="IO35" s="15">
        <v>4.25</v>
      </c>
      <c r="IP35" s="15">
        <v>3</v>
      </c>
      <c r="IQ35" s="15">
        <v>4.25</v>
      </c>
      <c r="IR35" s="15">
        <v>2.75</v>
      </c>
      <c r="IS35" s="15">
        <v>3.25</v>
      </c>
      <c r="IT35" s="15">
        <v>4.25</v>
      </c>
      <c r="IU35" s="15">
        <v>3.75</v>
      </c>
      <c r="IV35" s="15">
        <v>4</v>
      </c>
      <c r="IW35" s="15">
        <v>4.5</v>
      </c>
      <c r="IX35" s="15">
        <v>2.25</v>
      </c>
      <c r="IY35" s="15">
        <v>3.5</v>
      </c>
      <c r="IZ35" s="15">
        <v>4.75</v>
      </c>
    </row>
    <row r="36" spans="1:260" s="12" customFormat="1" x14ac:dyDescent="0.3">
      <c r="A36" s="15">
        <v>37</v>
      </c>
      <c r="B36" s="15" t="s">
        <v>468</v>
      </c>
      <c r="C36" s="16">
        <v>47</v>
      </c>
      <c r="D36" s="15" t="s">
        <v>288</v>
      </c>
      <c r="E36" s="15" t="s">
        <v>289</v>
      </c>
      <c r="F36" s="15" t="s">
        <v>290</v>
      </c>
      <c r="G36" s="15" t="s">
        <v>353</v>
      </c>
      <c r="H36" s="15" t="s">
        <v>291</v>
      </c>
      <c r="I36" s="15" t="s">
        <v>270</v>
      </c>
      <c r="J36" s="15" t="s">
        <v>360</v>
      </c>
      <c r="K36" s="15" t="s">
        <v>328</v>
      </c>
      <c r="L36" s="15" t="s">
        <v>295</v>
      </c>
      <c r="M36" s="15" t="s">
        <v>296</v>
      </c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>
        <v>0</v>
      </c>
      <c r="AE36" s="15">
        <f t="shared" si="10"/>
        <v>1</v>
      </c>
      <c r="AF36" s="15">
        <v>7.9780899999999999</v>
      </c>
      <c r="AG36" s="15">
        <v>0</v>
      </c>
      <c r="AH36" s="15">
        <v>1</v>
      </c>
      <c r="AI36" s="15">
        <v>1</v>
      </c>
      <c r="AJ36" s="15">
        <f>5/5</f>
        <v>1</v>
      </c>
      <c r="AK36" s="15"/>
      <c r="AL36" s="15"/>
      <c r="AM36" s="15"/>
      <c r="AN36" s="15"/>
      <c r="AO36" s="15">
        <v>0</v>
      </c>
      <c r="AP36" s="15">
        <f>2/3</f>
        <v>0.66666666666666663</v>
      </c>
      <c r="AQ36" s="15">
        <v>9.7825939999999996</v>
      </c>
      <c r="AR36" s="15">
        <v>0.19750000000000001</v>
      </c>
      <c r="AS36" s="15">
        <v>0</v>
      </c>
      <c r="AT36" s="15"/>
      <c r="AU36" s="15"/>
      <c r="AV36" s="15"/>
      <c r="AW36" s="15"/>
      <c r="AX36" s="15"/>
      <c r="AY36" s="15"/>
      <c r="AZ36" s="15">
        <v>0</v>
      </c>
      <c r="BA36" s="15">
        <f t="shared" si="13"/>
        <v>1</v>
      </c>
      <c r="BB36" s="15">
        <v>10.066395</v>
      </c>
      <c r="BC36" s="15">
        <v>0</v>
      </c>
      <c r="BD36" s="15">
        <v>0</v>
      </c>
      <c r="BE36" s="15"/>
      <c r="BF36" s="15"/>
      <c r="BG36" s="15"/>
      <c r="BH36" s="15"/>
      <c r="BI36" s="15"/>
      <c r="BJ36" s="15"/>
      <c r="BK36" s="15">
        <v>0</v>
      </c>
      <c r="BL36" s="15">
        <f t="shared" si="7"/>
        <v>1</v>
      </c>
      <c r="BM36" s="15">
        <v>9.5853520000000003</v>
      </c>
      <c r="BN36" s="15">
        <f>0</f>
        <v>0</v>
      </c>
      <c r="BO36" s="15"/>
      <c r="BP36" s="15"/>
      <c r="BQ36" s="15"/>
      <c r="BR36" s="15"/>
      <c r="BS36" s="15">
        <v>0</v>
      </c>
      <c r="BT36" s="15">
        <f t="shared" si="9"/>
        <v>1</v>
      </c>
      <c r="BU36" s="15">
        <v>18.921346</v>
      </c>
      <c r="BV36" s="15">
        <v>0</v>
      </c>
      <c r="BW36" s="15">
        <v>1</v>
      </c>
      <c r="BX36" s="15">
        <v>0</v>
      </c>
      <c r="BY36" s="15">
        <f>6/6</f>
        <v>1</v>
      </c>
      <c r="BZ36" s="15"/>
      <c r="CA36" s="15"/>
      <c r="CB36" s="15"/>
      <c r="CC36" s="15"/>
      <c r="CD36" s="15">
        <v>0</v>
      </c>
      <c r="CE36" s="15">
        <f t="shared" si="11"/>
        <v>1</v>
      </c>
      <c r="CF36" s="15">
        <v>14.208495000000001</v>
      </c>
      <c r="CG36" s="15">
        <v>0.04</v>
      </c>
      <c r="CH36" s="15">
        <v>0</v>
      </c>
      <c r="CI36" s="15"/>
      <c r="CJ36" s="15"/>
      <c r="CK36" s="15">
        <f t="shared" si="12"/>
        <v>70.542271999999997</v>
      </c>
      <c r="CL36" s="15">
        <v>0</v>
      </c>
      <c r="CM36" s="15">
        <v>0</v>
      </c>
      <c r="CN36" s="15">
        <v>2</v>
      </c>
      <c r="CO36" s="15">
        <f>Table1[[#This Row],[TotalTrapsRisked]]/5</f>
        <v>0.4</v>
      </c>
      <c r="CP36" s="15">
        <v>0</v>
      </c>
      <c r="CQ36" s="15">
        <v>0</v>
      </c>
      <c r="CR36" s="15">
        <v>0.5</v>
      </c>
      <c r="CS36" s="15">
        <v>0.74545454545454548</v>
      </c>
      <c r="CT36" s="15">
        <v>2</v>
      </c>
      <c r="CU36" s="15">
        <v>249</v>
      </c>
      <c r="CV36" s="15">
        <v>1020</v>
      </c>
      <c r="CW36" s="15">
        <v>2</v>
      </c>
      <c r="CX36" s="15"/>
      <c r="CY36" s="15"/>
      <c r="CZ36" s="15"/>
      <c r="DA36" s="15"/>
      <c r="DB36" s="15"/>
      <c r="DC36" s="15"/>
      <c r="DD36" s="15">
        <v>0</v>
      </c>
      <c r="DE36" s="15">
        <v>0</v>
      </c>
      <c r="DF36" s="15">
        <v>5</v>
      </c>
      <c r="DG36" s="15">
        <v>4</v>
      </c>
      <c r="DH36" s="15">
        <v>5</v>
      </c>
      <c r="DI36" s="15">
        <v>2</v>
      </c>
      <c r="DJ36" s="15">
        <v>5</v>
      </c>
      <c r="DK36" s="15">
        <v>1</v>
      </c>
      <c r="DL36" s="15">
        <v>2</v>
      </c>
      <c r="DM36" s="15">
        <v>5</v>
      </c>
      <c r="DN36" s="15">
        <v>1</v>
      </c>
      <c r="DO36" s="15">
        <v>5</v>
      </c>
      <c r="DP36" s="15">
        <v>2</v>
      </c>
      <c r="DQ36" s="15">
        <v>5</v>
      </c>
      <c r="DR36" s="15">
        <v>5</v>
      </c>
      <c r="DS36" s="15">
        <v>5</v>
      </c>
      <c r="DT36" s="15">
        <v>5</v>
      </c>
      <c r="DU36" s="15">
        <v>2</v>
      </c>
      <c r="DV36" s="15">
        <v>4</v>
      </c>
      <c r="DW36" s="15">
        <v>4</v>
      </c>
      <c r="DX36" s="15">
        <v>2</v>
      </c>
      <c r="DY36" s="15">
        <v>5</v>
      </c>
      <c r="DZ36" s="15">
        <v>2</v>
      </c>
      <c r="EA36" s="15">
        <v>5</v>
      </c>
      <c r="EB36" s="15">
        <v>5</v>
      </c>
      <c r="EC36" s="15">
        <v>2</v>
      </c>
      <c r="ED36" s="15">
        <v>5</v>
      </c>
      <c r="EE36" s="15">
        <v>2</v>
      </c>
      <c r="EF36" s="15">
        <v>5</v>
      </c>
      <c r="EG36" s="15">
        <v>2</v>
      </c>
      <c r="EH36" s="15">
        <v>5</v>
      </c>
      <c r="EI36" s="15">
        <v>2</v>
      </c>
      <c r="EJ36" s="15">
        <v>4</v>
      </c>
      <c r="EK36" s="15">
        <v>4</v>
      </c>
      <c r="EL36" s="15">
        <v>5</v>
      </c>
      <c r="EM36" s="15">
        <v>4</v>
      </c>
      <c r="EN36" s="15">
        <v>5</v>
      </c>
      <c r="EO36" s="15">
        <v>2</v>
      </c>
      <c r="EP36" s="15">
        <v>4</v>
      </c>
      <c r="EQ36" s="15">
        <v>4</v>
      </c>
      <c r="ER36" s="15">
        <v>1</v>
      </c>
      <c r="ES36" s="15">
        <v>1</v>
      </c>
      <c r="ET36" s="15">
        <v>1</v>
      </c>
      <c r="EU36" s="15">
        <v>4</v>
      </c>
      <c r="EV36" s="15">
        <v>4</v>
      </c>
      <c r="EW36" s="15">
        <v>5</v>
      </c>
      <c r="EX36" s="15">
        <v>5</v>
      </c>
      <c r="EY36" s="15">
        <v>2</v>
      </c>
      <c r="EZ36" s="15">
        <v>5</v>
      </c>
      <c r="FA36" s="15">
        <v>4</v>
      </c>
      <c r="FB36" s="15">
        <v>1</v>
      </c>
      <c r="FC36" s="15">
        <v>5</v>
      </c>
      <c r="FD36" s="15">
        <v>4</v>
      </c>
      <c r="FE36" s="15">
        <v>4</v>
      </c>
      <c r="FF36" s="15">
        <v>2</v>
      </c>
      <c r="FG36" s="15">
        <v>2</v>
      </c>
      <c r="FH36" s="15">
        <v>5</v>
      </c>
      <c r="FI36" s="15">
        <v>2</v>
      </c>
      <c r="FJ36" s="15">
        <v>4</v>
      </c>
      <c r="FK36" s="15">
        <v>4</v>
      </c>
      <c r="FL36" s="15">
        <v>5</v>
      </c>
      <c r="FM36" s="15">
        <v>2</v>
      </c>
      <c r="FN36" s="15">
        <v>4</v>
      </c>
      <c r="FO36" s="15">
        <v>1</v>
      </c>
      <c r="FP36" s="15">
        <v>2</v>
      </c>
      <c r="FQ36" s="15">
        <v>3</v>
      </c>
      <c r="FR36" s="15">
        <v>2</v>
      </c>
      <c r="FS36" s="15">
        <v>2</v>
      </c>
      <c r="FT36" s="15">
        <v>1</v>
      </c>
      <c r="FU36" s="15">
        <v>3</v>
      </c>
      <c r="FV36" s="15">
        <v>4</v>
      </c>
      <c r="FW36" s="15">
        <v>2</v>
      </c>
      <c r="FX36" s="15">
        <v>1</v>
      </c>
      <c r="FY36" s="15">
        <v>2</v>
      </c>
      <c r="FZ36" s="15">
        <v>4</v>
      </c>
      <c r="GA36" s="15">
        <v>3</v>
      </c>
      <c r="GB36" s="15">
        <v>1</v>
      </c>
      <c r="GC36" s="15">
        <v>1</v>
      </c>
      <c r="GD36" s="15">
        <v>2</v>
      </c>
      <c r="GE36" s="15">
        <v>4</v>
      </c>
      <c r="GF36" s="15">
        <v>4</v>
      </c>
      <c r="GG36" s="15">
        <v>1</v>
      </c>
      <c r="GH36" s="15">
        <v>1</v>
      </c>
      <c r="GI36" s="15">
        <v>2</v>
      </c>
      <c r="GJ36" s="15">
        <v>4</v>
      </c>
      <c r="GK36" s="15">
        <v>2</v>
      </c>
      <c r="GL36" s="15">
        <v>2</v>
      </c>
      <c r="GM36" s="15">
        <v>3</v>
      </c>
      <c r="GN36" s="15">
        <v>1</v>
      </c>
      <c r="GO36" s="15">
        <v>5</v>
      </c>
      <c r="GP36" s="15">
        <v>3</v>
      </c>
      <c r="GQ36" s="15">
        <v>2</v>
      </c>
      <c r="GR36" s="15">
        <v>1</v>
      </c>
      <c r="GS36" s="15">
        <v>2</v>
      </c>
      <c r="GT36" s="15">
        <v>2</v>
      </c>
      <c r="GU36" s="15">
        <v>2</v>
      </c>
      <c r="GV36" s="15">
        <v>3</v>
      </c>
      <c r="GW36" s="15">
        <v>5</v>
      </c>
      <c r="GX36" s="15">
        <v>2</v>
      </c>
      <c r="GY36" s="15">
        <v>2</v>
      </c>
      <c r="GZ36" s="15">
        <v>3</v>
      </c>
      <c r="HA36" s="15">
        <v>1</v>
      </c>
      <c r="HB36" s="15">
        <v>1</v>
      </c>
      <c r="HC36" s="15">
        <v>5</v>
      </c>
      <c r="HD36" s="15">
        <v>2</v>
      </c>
      <c r="HE36" s="15">
        <v>1</v>
      </c>
      <c r="HF36" s="15">
        <v>2</v>
      </c>
      <c r="HG36" s="15">
        <v>1</v>
      </c>
      <c r="HH36" s="15">
        <v>1</v>
      </c>
      <c r="HI36" s="15">
        <v>4</v>
      </c>
      <c r="HJ36" s="15">
        <v>4</v>
      </c>
      <c r="HK36" s="15">
        <v>2</v>
      </c>
      <c r="HL36" s="15">
        <v>1</v>
      </c>
      <c r="HM36" s="15">
        <v>4</v>
      </c>
      <c r="HN36" s="15">
        <v>1</v>
      </c>
      <c r="HO36" s="15">
        <v>3</v>
      </c>
      <c r="HP36" s="15">
        <v>2</v>
      </c>
      <c r="HQ36" s="15">
        <v>1</v>
      </c>
      <c r="HR36" s="15">
        <v>4</v>
      </c>
      <c r="HS36" s="15">
        <v>4</v>
      </c>
      <c r="HT36" s="15">
        <v>4</v>
      </c>
      <c r="HU36" s="15">
        <v>1</v>
      </c>
      <c r="HV36" s="15">
        <v>2</v>
      </c>
      <c r="HW36" s="15">
        <v>4.25</v>
      </c>
      <c r="HX36" s="15">
        <v>5</v>
      </c>
      <c r="HY36" s="15">
        <v>5</v>
      </c>
      <c r="HZ36" s="15">
        <v>5</v>
      </c>
      <c r="IA36" s="15">
        <v>4.5</v>
      </c>
      <c r="IB36" s="15">
        <v>4.25</v>
      </c>
      <c r="IC36" s="15">
        <v>3.75</v>
      </c>
      <c r="ID36" s="15">
        <v>2.25</v>
      </c>
      <c r="IE36" s="15">
        <v>1.5</v>
      </c>
      <c r="IF36" s="15">
        <v>2.75</v>
      </c>
      <c r="IG36" s="15">
        <v>2.5</v>
      </c>
      <c r="IH36" s="15">
        <v>1.75</v>
      </c>
      <c r="II36" s="15">
        <v>4.25</v>
      </c>
      <c r="IJ36" s="15">
        <v>3.75</v>
      </c>
      <c r="IK36" s="15">
        <v>4.25</v>
      </c>
      <c r="IL36" s="15">
        <v>3.75</v>
      </c>
      <c r="IM36" s="15">
        <v>3.5</v>
      </c>
      <c r="IN36" s="15">
        <v>4.5</v>
      </c>
      <c r="IO36" s="15">
        <v>3.5</v>
      </c>
      <c r="IP36" s="15">
        <v>3.75</v>
      </c>
      <c r="IQ36" s="15">
        <v>4.25</v>
      </c>
      <c r="IR36" s="15">
        <v>2.5</v>
      </c>
      <c r="IS36" s="15">
        <v>4</v>
      </c>
      <c r="IT36" s="15">
        <v>2.75</v>
      </c>
      <c r="IU36" s="15">
        <v>3</v>
      </c>
      <c r="IV36" s="15">
        <v>4.75</v>
      </c>
      <c r="IW36" s="15">
        <v>4.75</v>
      </c>
      <c r="IX36" s="15">
        <v>4.5</v>
      </c>
      <c r="IY36" s="15">
        <v>4</v>
      </c>
      <c r="IZ36" s="15">
        <v>4.75</v>
      </c>
    </row>
    <row r="37" spans="1:260" s="12" customFormat="1" x14ac:dyDescent="0.3">
      <c r="A37" s="15">
        <v>38</v>
      </c>
      <c r="B37" s="15" t="s">
        <v>467</v>
      </c>
      <c r="C37" s="16">
        <v>41</v>
      </c>
      <c r="D37" s="15" t="s">
        <v>288</v>
      </c>
      <c r="E37" s="15" t="s">
        <v>289</v>
      </c>
      <c r="F37" s="15" t="s">
        <v>290</v>
      </c>
      <c r="G37" s="15" t="s">
        <v>268</v>
      </c>
      <c r="H37" s="15" t="s">
        <v>291</v>
      </c>
      <c r="I37" s="15" t="s">
        <v>270</v>
      </c>
      <c r="J37" s="15" t="s">
        <v>361</v>
      </c>
      <c r="K37" s="15" t="s">
        <v>277</v>
      </c>
      <c r="L37" s="15" t="s">
        <v>281</v>
      </c>
      <c r="M37" s="15" t="s">
        <v>362</v>
      </c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>
        <v>0</v>
      </c>
      <c r="AE37" s="15">
        <f t="shared" si="10"/>
        <v>1</v>
      </c>
      <c r="AF37" s="15">
        <v>26.919237000000003</v>
      </c>
      <c r="AG37" s="15">
        <v>0</v>
      </c>
      <c r="AH37" s="15">
        <v>0</v>
      </c>
      <c r="AI37" s="15"/>
      <c r="AJ37" s="15"/>
      <c r="AK37" s="15"/>
      <c r="AL37" s="15"/>
      <c r="AM37" s="15"/>
      <c r="AN37" s="15"/>
      <c r="AO37" s="15">
        <v>0</v>
      </c>
      <c r="AP37" s="15">
        <f>3/3</f>
        <v>1</v>
      </c>
      <c r="AQ37" s="15">
        <v>9.3201720000000012</v>
      </c>
      <c r="AR37" s="15">
        <f>0</f>
        <v>0</v>
      </c>
      <c r="AS37" s="15">
        <v>0</v>
      </c>
      <c r="AT37" s="15"/>
      <c r="AU37" s="15"/>
      <c r="AV37" s="15"/>
      <c r="AW37" s="15"/>
      <c r="AX37" s="15"/>
      <c r="AY37" s="15"/>
      <c r="AZ37" s="15">
        <v>0</v>
      </c>
      <c r="BA37" s="15">
        <f t="shared" si="13"/>
        <v>1</v>
      </c>
      <c r="BB37" s="15">
        <v>8.0769289999999998</v>
      </c>
      <c r="BC37" s="15">
        <f>0</f>
        <v>0</v>
      </c>
      <c r="BD37" s="15">
        <v>0</v>
      </c>
      <c r="BE37" s="15"/>
      <c r="BF37" s="15"/>
      <c r="BG37" s="15"/>
      <c r="BH37" s="15"/>
      <c r="BI37" s="15"/>
      <c r="BJ37" s="15"/>
      <c r="BK37" s="15">
        <v>0</v>
      </c>
      <c r="BL37" s="15">
        <f t="shared" si="7"/>
        <v>1</v>
      </c>
      <c r="BM37" s="15">
        <v>22.164414000000001</v>
      </c>
      <c r="BN37" s="15">
        <v>0</v>
      </c>
      <c r="BO37" s="15"/>
      <c r="BP37" s="15"/>
      <c r="BQ37" s="15"/>
      <c r="BR37" s="15"/>
      <c r="BS37" s="15">
        <v>0</v>
      </c>
      <c r="BT37" s="15">
        <f t="shared" si="9"/>
        <v>1</v>
      </c>
      <c r="BU37" s="15">
        <v>11.422302999999999</v>
      </c>
      <c r="BV37" s="15">
        <v>0</v>
      </c>
      <c r="BW37" s="15">
        <v>0</v>
      </c>
      <c r="BX37" s="15"/>
      <c r="BY37" s="15"/>
      <c r="BZ37" s="15"/>
      <c r="CA37" s="15"/>
      <c r="CB37" s="15"/>
      <c r="CC37" s="15"/>
      <c r="CD37" s="15">
        <v>0</v>
      </c>
      <c r="CE37" s="15">
        <f t="shared" si="11"/>
        <v>1</v>
      </c>
      <c r="CF37" s="15">
        <v>21.071578000000002</v>
      </c>
      <c r="CG37" s="15">
        <v>0.28000000000000003</v>
      </c>
      <c r="CH37" s="15">
        <v>0</v>
      </c>
      <c r="CI37" s="15"/>
      <c r="CJ37" s="15"/>
      <c r="CK37" s="15">
        <f t="shared" si="12"/>
        <v>98.974632999999997</v>
      </c>
      <c r="CL37" s="15">
        <v>0</v>
      </c>
      <c r="CM37" s="15">
        <v>0</v>
      </c>
      <c r="CN37" s="15">
        <v>0</v>
      </c>
      <c r="CO37" s="15">
        <f>Table1[[#This Row],[TotalTrapsRisked]]/5</f>
        <v>0</v>
      </c>
      <c r="CP37" s="15">
        <v>0</v>
      </c>
      <c r="CQ37" s="15">
        <v>0</v>
      </c>
      <c r="CR37" s="15">
        <v>0.14583333333333334</v>
      </c>
      <c r="CS37" s="15">
        <v>0.57272727272727275</v>
      </c>
      <c r="CT37" s="15">
        <v>1</v>
      </c>
      <c r="CU37" s="15">
        <v>200</v>
      </c>
      <c r="CV37" s="15">
        <v>730</v>
      </c>
      <c r="CW37" s="15">
        <v>1</v>
      </c>
      <c r="CX37" s="15"/>
      <c r="CY37" s="15"/>
      <c r="CZ37" s="15"/>
      <c r="DA37" s="15"/>
      <c r="DB37" s="15"/>
      <c r="DC37" s="15"/>
      <c r="DD37" s="15">
        <v>0</v>
      </c>
      <c r="DE37" s="15">
        <v>0</v>
      </c>
      <c r="DF37" s="15">
        <v>5</v>
      </c>
      <c r="DG37" s="15">
        <v>4</v>
      </c>
      <c r="DH37" s="15">
        <v>4</v>
      </c>
      <c r="DI37" s="15">
        <v>3</v>
      </c>
      <c r="DJ37" s="15">
        <v>4</v>
      </c>
      <c r="DK37" s="15">
        <v>2</v>
      </c>
      <c r="DL37" s="15">
        <v>2</v>
      </c>
      <c r="DM37" s="15">
        <v>4</v>
      </c>
      <c r="DN37" s="15">
        <v>1</v>
      </c>
      <c r="DO37" s="15">
        <v>3</v>
      </c>
      <c r="DP37" s="15">
        <v>2</v>
      </c>
      <c r="DQ37" s="15">
        <v>5</v>
      </c>
      <c r="DR37" s="15">
        <v>4</v>
      </c>
      <c r="DS37" s="15">
        <v>4</v>
      </c>
      <c r="DT37" s="15">
        <v>4</v>
      </c>
      <c r="DU37" s="15">
        <v>2</v>
      </c>
      <c r="DV37" s="15">
        <v>2</v>
      </c>
      <c r="DW37" s="15">
        <v>4</v>
      </c>
      <c r="DX37" s="15">
        <v>1</v>
      </c>
      <c r="DY37" s="15">
        <v>4</v>
      </c>
      <c r="DZ37" s="15">
        <v>3</v>
      </c>
      <c r="EA37" s="15">
        <v>2</v>
      </c>
      <c r="EB37" s="15">
        <v>4</v>
      </c>
      <c r="EC37" s="15">
        <v>1</v>
      </c>
      <c r="ED37" s="15">
        <v>2</v>
      </c>
      <c r="EE37" s="15">
        <v>3</v>
      </c>
      <c r="EF37" s="15">
        <v>2</v>
      </c>
      <c r="EG37" s="15">
        <v>2</v>
      </c>
      <c r="EH37" s="15">
        <v>3</v>
      </c>
      <c r="EI37" s="15">
        <v>2</v>
      </c>
      <c r="EJ37" s="15">
        <v>4</v>
      </c>
      <c r="EK37" s="15">
        <v>3</v>
      </c>
      <c r="EL37" s="15">
        <v>4</v>
      </c>
      <c r="EM37" s="15">
        <v>3</v>
      </c>
      <c r="EN37" s="15">
        <v>1</v>
      </c>
      <c r="EO37" s="15">
        <v>2</v>
      </c>
      <c r="EP37" s="15">
        <v>2</v>
      </c>
      <c r="EQ37" s="15">
        <v>4</v>
      </c>
      <c r="ER37" s="15">
        <v>1</v>
      </c>
      <c r="ES37" s="15">
        <v>3</v>
      </c>
      <c r="ET37" s="15">
        <v>2</v>
      </c>
      <c r="EU37" s="15">
        <v>3</v>
      </c>
      <c r="EV37" s="15">
        <v>4</v>
      </c>
      <c r="EW37" s="15">
        <v>4</v>
      </c>
      <c r="EX37" s="15">
        <v>3</v>
      </c>
      <c r="EY37" s="15">
        <v>4</v>
      </c>
      <c r="EZ37" s="15">
        <v>2</v>
      </c>
      <c r="FA37" s="15">
        <v>3</v>
      </c>
      <c r="FB37" s="15">
        <v>4</v>
      </c>
      <c r="FC37" s="15">
        <v>2</v>
      </c>
      <c r="FD37" s="15">
        <v>3</v>
      </c>
      <c r="FE37" s="15">
        <v>3</v>
      </c>
      <c r="FF37" s="15">
        <v>4</v>
      </c>
      <c r="FG37" s="15">
        <v>2</v>
      </c>
      <c r="FH37" s="15">
        <v>3</v>
      </c>
      <c r="FI37" s="15">
        <v>2</v>
      </c>
      <c r="FJ37" s="15">
        <v>4</v>
      </c>
      <c r="FK37" s="15">
        <v>4</v>
      </c>
      <c r="FL37" s="15">
        <v>4</v>
      </c>
      <c r="FM37" s="15">
        <v>3</v>
      </c>
      <c r="FN37" s="15">
        <v>4</v>
      </c>
      <c r="FO37" s="15">
        <v>2</v>
      </c>
      <c r="FP37" s="15">
        <v>2</v>
      </c>
      <c r="FQ37" s="15">
        <v>3</v>
      </c>
      <c r="FR37" s="15">
        <v>2</v>
      </c>
      <c r="FS37" s="15">
        <v>4</v>
      </c>
      <c r="FT37" s="15">
        <v>2</v>
      </c>
      <c r="FU37" s="15">
        <v>2</v>
      </c>
      <c r="FV37" s="15">
        <v>4</v>
      </c>
      <c r="FW37" s="15">
        <v>2</v>
      </c>
      <c r="FX37" s="15">
        <v>3</v>
      </c>
      <c r="FY37" s="15">
        <v>2</v>
      </c>
      <c r="FZ37" s="15">
        <v>4</v>
      </c>
      <c r="GA37" s="15">
        <v>2</v>
      </c>
      <c r="GB37" s="15">
        <v>2</v>
      </c>
      <c r="GC37" s="15">
        <v>1</v>
      </c>
      <c r="GD37" s="15">
        <v>2</v>
      </c>
      <c r="GE37" s="15">
        <v>3</v>
      </c>
      <c r="GF37" s="15">
        <v>4</v>
      </c>
      <c r="GG37" s="15">
        <v>1</v>
      </c>
      <c r="GH37" s="15">
        <v>2</v>
      </c>
      <c r="GI37" s="15">
        <v>2</v>
      </c>
      <c r="GJ37" s="15">
        <v>2</v>
      </c>
      <c r="GK37" s="15">
        <v>3</v>
      </c>
      <c r="GL37" s="15">
        <v>2</v>
      </c>
      <c r="GM37" s="15">
        <v>3</v>
      </c>
      <c r="GN37" s="15">
        <v>3</v>
      </c>
      <c r="GO37" s="15">
        <v>4</v>
      </c>
      <c r="GP37" s="15">
        <v>2</v>
      </c>
      <c r="GQ37" s="15">
        <v>2</v>
      </c>
      <c r="GR37" s="15">
        <v>2</v>
      </c>
      <c r="GS37" s="15">
        <v>3</v>
      </c>
      <c r="GT37" s="15">
        <v>2</v>
      </c>
      <c r="GU37" s="15">
        <v>2</v>
      </c>
      <c r="GV37" s="15">
        <v>4</v>
      </c>
      <c r="GW37" s="15">
        <v>2</v>
      </c>
      <c r="GX37" s="15">
        <v>4</v>
      </c>
      <c r="GY37" s="15">
        <v>2</v>
      </c>
      <c r="GZ37" s="15">
        <v>2</v>
      </c>
      <c r="HA37" s="15">
        <v>2</v>
      </c>
      <c r="HB37" s="15">
        <v>2</v>
      </c>
      <c r="HC37" s="15">
        <v>4</v>
      </c>
      <c r="HD37" s="15">
        <v>3</v>
      </c>
      <c r="HE37" s="15">
        <v>2</v>
      </c>
      <c r="HF37" s="15">
        <v>2</v>
      </c>
      <c r="HG37" s="15">
        <v>2</v>
      </c>
      <c r="HH37" s="15">
        <v>2</v>
      </c>
      <c r="HI37" s="15">
        <v>4</v>
      </c>
      <c r="HJ37" s="15">
        <v>4</v>
      </c>
      <c r="HK37" s="15">
        <v>2</v>
      </c>
      <c r="HL37" s="15">
        <v>2</v>
      </c>
      <c r="HM37" s="15">
        <v>4</v>
      </c>
      <c r="HN37" s="15">
        <v>1</v>
      </c>
      <c r="HO37" s="15">
        <v>4</v>
      </c>
      <c r="HP37" s="15">
        <v>2</v>
      </c>
      <c r="HQ37" s="15">
        <v>2</v>
      </c>
      <c r="HR37" s="15">
        <v>2</v>
      </c>
      <c r="HS37" s="15">
        <v>4</v>
      </c>
      <c r="HT37" s="15">
        <v>3</v>
      </c>
      <c r="HU37" s="15">
        <v>2</v>
      </c>
      <c r="HV37" s="15">
        <v>3</v>
      </c>
      <c r="HW37" s="15">
        <v>2.25</v>
      </c>
      <c r="HX37" s="15">
        <v>3.25</v>
      </c>
      <c r="HY37" s="15">
        <v>4</v>
      </c>
      <c r="HZ37" s="15">
        <v>3.5</v>
      </c>
      <c r="IA37" s="15">
        <v>3</v>
      </c>
      <c r="IB37" s="15">
        <v>3.5</v>
      </c>
      <c r="IC37" s="15">
        <v>4</v>
      </c>
      <c r="ID37" s="15">
        <v>2.5</v>
      </c>
      <c r="IE37" s="15">
        <v>2</v>
      </c>
      <c r="IF37" s="15">
        <v>3</v>
      </c>
      <c r="IG37" s="15">
        <v>3</v>
      </c>
      <c r="IH37" s="15">
        <v>3</v>
      </c>
      <c r="II37" s="15">
        <v>3.75</v>
      </c>
      <c r="IJ37" s="15">
        <v>3</v>
      </c>
      <c r="IK37" s="15">
        <v>3.75</v>
      </c>
      <c r="IL37" s="15">
        <v>2.25</v>
      </c>
      <c r="IM37" s="15">
        <v>2</v>
      </c>
      <c r="IN37" s="15">
        <v>3.5</v>
      </c>
      <c r="IO37" s="15">
        <v>3</v>
      </c>
      <c r="IP37" s="15">
        <v>4</v>
      </c>
      <c r="IQ37" s="15">
        <v>4</v>
      </c>
      <c r="IR37" s="15">
        <v>2.75</v>
      </c>
      <c r="IS37" s="15">
        <v>2.75</v>
      </c>
      <c r="IT37" s="15">
        <v>3.25</v>
      </c>
      <c r="IU37" s="15">
        <v>2.75</v>
      </c>
      <c r="IV37" s="15">
        <v>4.5</v>
      </c>
      <c r="IW37" s="15">
        <v>4</v>
      </c>
      <c r="IX37" s="15">
        <v>4</v>
      </c>
      <c r="IY37" s="15">
        <v>4.25</v>
      </c>
      <c r="IZ37" s="15">
        <v>3.75</v>
      </c>
    </row>
    <row r="38" spans="1:260" s="12" customFormat="1" x14ac:dyDescent="0.3">
      <c r="A38" s="15">
        <v>39</v>
      </c>
      <c r="B38" s="15" t="s">
        <v>468</v>
      </c>
      <c r="C38" s="16">
        <v>48</v>
      </c>
      <c r="D38" s="15" t="s">
        <v>288</v>
      </c>
      <c r="E38" s="15" t="s">
        <v>289</v>
      </c>
      <c r="F38" s="15" t="s">
        <v>290</v>
      </c>
      <c r="G38" s="15" t="s">
        <v>268</v>
      </c>
      <c r="H38" s="15" t="s">
        <v>291</v>
      </c>
      <c r="I38" s="15" t="s">
        <v>270</v>
      </c>
      <c r="J38" s="15" t="s">
        <v>303</v>
      </c>
      <c r="K38" s="15" t="s">
        <v>272</v>
      </c>
      <c r="L38" s="15" t="s">
        <v>278</v>
      </c>
      <c r="M38" s="15" t="s">
        <v>363</v>
      </c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>
        <v>0</v>
      </c>
      <c r="AA38" s="15">
        <f>5/5</f>
        <v>1</v>
      </c>
      <c r="AB38" s="15">
        <v>5.3374540000000001</v>
      </c>
      <c r="AC38" s="15">
        <v>0</v>
      </c>
      <c r="AD38" s="15"/>
      <c r="AE38" s="15"/>
      <c r="AF38" s="15"/>
      <c r="AG38" s="15"/>
      <c r="AH38" s="15">
        <v>1</v>
      </c>
      <c r="AI38" s="15">
        <v>0</v>
      </c>
      <c r="AJ38" s="15">
        <f>5/5</f>
        <v>1</v>
      </c>
      <c r="AK38" s="15"/>
      <c r="AL38" s="15"/>
      <c r="AM38" s="15"/>
      <c r="AN38" s="15"/>
      <c r="AO38" s="15">
        <v>0</v>
      </c>
      <c r="AP38" s="15">
        <f>3/3</f>
        <v>1</v>
      </c>
      <c r="AQ38" s="15">
        <v>6.4634139999999993</v>
      </c>
      <c r="AR38" s="15">
        <v>3.2500000000000001E-2</v>
      </c>
      <c r="AS38" s="15">
        <v>0</v>
      </c>
      <c r="AT38" s="15"/>
      <c r="AU38" s="15"/>
      <c r="AV38" s="15"/>
      <c r="AW38" s="15"/>
      <c r="AX38" s="15"/>
      <c r="AY38" s="15"/>
      <c r="AZ38" s="15">
        <v>0</v>
      </c>
      <c r="BA38" s="15">
        <f t="shared" si="13"/>
        <v>1</v>
      </c>
      <c r="BB38" s="15">
        <v>5.2628829999999995</v>
      </c>
      <c r="BC38" s="15">
        <v>0</v>
      </c>
      <c r="BD38" s="15">
        <v>0</v>
      </c>
      <c r="BE38" s="15"/>
      <c r="BF38" s="15"/>
      <c r="BG38" s="15"/>
      <c r="BH38" s="15"/>
      <c r="BI38" s="15"/>
      <c r="BJ38" s="15"/>
      <c r="BK38" s="15">
        <v>0</v>
      </c>
      <c r="BL38" s="15">
        <f t="shared" si="7"/>
        <v>1</v>
      </c>
      <c r="BM38" s="15">
        <v>9.4288359999999987</v>
      </c>
      <c r="BN38" s="15">
        <v>0</v>
      </c>
      <c r="BO38" s="15">
        <v>0</v>
      </c>
      <c r="BP38" s="15">
        <f>5/5</f>
        <v>1</v>
      </c>
      <c r="BQ38" s="15">
        <v>9.3428400000000007</v>
      </c>
      <c r="BR38" s="15">
        <v>0</v>
      </c>
      <c r="BS38" s="15"/>
      <c r="BT38" s="15"/>
      <c r="BU38" s="15"/>
      <c r="BV38" s="15"/>
      <c r="BW38" s="15">
        <v>0</v>
      </c>
      <c r="BX38" s="15"/>
      <c r="BY38" s="15"/>
      <c r="BZ38" s="15"/>
      <c r="CA38" s="15"/>
      <c r="CB38" s="15"/>
      <c r="CC38" s="15"/>
      <c r="CD38" s="15">
        <v>0</v>
      </c>
      <c r="CE38" s="15">
        <f t="shared" si="11"/>
        <v>1</v>
      </c>
      <c r="CF38" s="15">
        <v>16.893883500000001</v>
      </c>
      <c r="CG38" s="15">
        <f>0.0325</f>
        <v>3.2500000000000001E-2</v>
      </c>
      <c r="CH38" s="15">
        <v>1</v>
      </c>
      <c r="CI38" s="15">
        <v>1</v>
      </c>
      <c r="CJ38" s="15">
        <f>6/6</f>
        <v>1</v>
      </c>
      <c r="CK38" s="15">
        <f t="shared" si="12"/>
        <v>52.729310500000004</v>
      </c>
      <c r="CL38" s="15">
        <f>2/8</f>
        <v>0.25</v>
      </c>
      <c r="CM38" s="15">
        <v>0</v>
      </c>
      <c r="CN38" s="15">
        <v>2</v>
      </c>
      <c r="CO38" s="15">
        <f>Table1[[#This Row],[TotalTrapsRisked]]/5</f>
        <v>0.4</v>
      </c>
      <c r="CP38" s="15">
        <v>0</v>
      </c>
      <c r="CQ38" s="15">
        <v>0</v>
      </c>
      <c r="CR38" s="15">
        <v>0.4375</v>
      </c>
      <c r="CS38" s="15">
        <v>0.47272727272727272</v>
      </c>
      <c r="CT38" s="15">
        <v>0</v>
      </c>
      <c r="CU38" s="15">
        <v>233</v>
      </c>
      <c r="CV38" s="15">
        <v>520</v>
      </c>
      <c r="CW38" s="15">
        <v>0</v>
      </c>
      <c r="CX38" s="15"/>
      <c r="CY38" s="15"/>
      <c r="CZ38" s="15"/>
      <c r="DA38" s="15"/>
      <c r="DB38" s="15"/>
      <c r="DC38" s="15"/>
      <c r="DD38" s="15">
        <v>0</v>
      </c>
      <c r="DE38" s="15">
        <v>0</v>
      </c>
      <c r="DF38" s="15">
        <v>5</v>
      </c>
      <c r="DG38" s="15">
        <v>3</v>
      </c>
      <c r="DH38" s="15">
        <v>4</v>
      </c>
      <c r="DI38" s="15">
        <v>3</v>
      </c>
      <c r="DJ38" s="15">
        <v>4</v>
      </c>
      <c r="DK38" s="15">
        <v>4</v>
      </c>
      <c r="DL38" s="15">
        <v>2</v>
      </c>
      <c r="DM38" s="15">
        <v>4</v>
      </c>
      <c r="DN38" s="15">
        <v>2</v>
      </c>
      <c r="DO38" s="15">
        <v>4</v>
      </c>
      <c r="DP38" s="15">
        <v>4</v>
      </c>
      <c r="DQ38" s="15">
        <v>4</v>
      </c>
      <c r="DR38" s="15">
        <v>4</v>
      </c>
      <c r="DS38" s="15">
        <v>4</v>
      </c>
      <c r="DT38" s="15">
        <v>4</v>
      </c>
      <c r="DU38" s="15">
        <v>4</v>
      </c>
      <c r="DV38" s="15">
        <v>4</v>
      </c>
      <c r="DW38" s="15">
        <v>2</v>
      </c>
      <c r="DX38" s="15">
        <v>2</v>
      </c>
      <c r="DY38" s="15">
        <v>4</v>
      </c>
      <c r="DZ38" s="15">
        <v>4</v>
      </c>
      <c r="EA38" s="15">
        <v>4</v>
      </c>
      <c r="EB38" s="15">
        <v>4</v>
      </c>
      <c r="EC38" s="15">
        <v>1</v>
      </c>
      <c r="ED38" s="15">
        <v>1</v>
      </c>
      <c r="EE38" s="15">
        <v>4</v>
      </c>
      <c r="EF38" s="15">
        <v>2</v>
      </c>
      <c r="EG38" s="15">
        <v>2</v>
      </c>
      <c r="EH38" s="15">
        <v>3</v>
      </c>
      <c r="EI38" s="15">
        <v>2</v>
      </c>
      <c r="EJ38" s="15">
        <v>4</v>
      </c>
      <c r="EK38" s="15">
        <v>4</v>
      </c>
      <c r="EL38" s="15">
        <v>2</v>
      </c>
      <c r="EM38" s="15">
        <v>3</v>
      </c>
      <c r="EN38" s="15">
        <v>2</v>
      </c>
      <c r="EO38" s="15">
        <v>4</v>
      </c>
      <c r="EP38" s="15">
        <v>2</v>
      </c>
      <c r="EQ38" s="15">
        <v>3</v>
      </c>
      <c r="ER38" s="15">
        <v>1</v>
      </c>
      <c r="ES38" s="15">
        <v>4</v>
      </c>
      <c r="ET38" s="15">
        <v>4</v>
      </c>
      <c r="EU38" s="15">
        <v>1</v>
      </c>
      <c r="EV38" s="15">
        <v>4</v>
      </c>
      <c r="EW38" s="15">
        <v>4</v>
      </c>
      <c r="EX38" s="15">
        <v>4</v>
      </c>
      <c r="EY38" s="15">
        <v>4</v>
      </c>
      <c r="EZ38" s="15">
        <v>4</v>
      </c>
      <c r="FA38" s="15">
        <v>4</v>
      </c>
      <c r="FB38" s="15">
        <v>4</v>
      </c>
      <c r="FC38" s="15">
        <v>4</v>
      </c>
      <c r="FD38" s="15">
        <v>2</v>
      </c>
      <c r="FE38" s="15">
        <v>2</v>
      </c>
      <c r="FF38" s="15">
        <v>2</v>
      </c>
      <c r="FG38" s="15">
        <v>2</v>
      </c>
      <c r="FH38" s="15">
        <v>2</v>
      </c>
      <c r="FI38" s="15">
        <v>4</v>
      </c>
      <c r="FJ38" s="15">
        <v>2</v>
      </c>
      <c r="FK38" s="15">
        <v>4</v>
      </c>
      <c r="FL38" s="15">
        <v>4</v>
      </c>
      <c r="FM38" s="15">
        <v>3</v>
      </c>
      <c r="FN38" s="15">
        <v>4</v>
      </c>
      <c r="FO38" s="15">
        <v>2</v>
      </c>
      <c r="FP38" s="15">
        <v>2</v>
      </c>
      <c r="FQ38" s="15">
        <v>4</v>
      </c>
      <c r="FR38" s="15">
        <v>2</v>
      </c>
      <c r="FS38" s="15">
        <v>4</v>
      </c>
      <c r="FT38" s="15">
        <v>3</v>
      </c>
      <c r="FU38" s="15">
        <v>2</v>
      </c>
      <c r="FV38" s="15">
        <v>4</v>
      </c>
      <c r="FW38" s="15">
        <v>2</v>
      </c>
      <c r="FX38" s="15">
        <v>2</v>
      </c>
      <c r="FY38" s="15">
        <v>4</v>
      </c>
      <c r="FZ38" s="15">
        <v>2</v>
      </c>
      <c r="GA38" s="15">
        <v>2</v>
      </c>
      <c r="GB38" s="15">
        <v>2</v>
      </c>
      <c r="GC38" s="15">
        <v>2</v>
      </c>
      <c r="GD38" s="15">
        <v>2</v>
      </c>
      <c r="GE38" s="15">
        <v>2</v>
      </c>
      <c r="GF38" s="15">
        <v>4</v>
      </c>
      <c r="GG38" s="15">
        <v>2</v>
      </c>
      <c r="GH38" s="15">
        <v>2</v>
      </c>
      <c r="GI38" s="15">
        <v>2</v>
      </c>
      <c r="GJ38" s="15">
        <v>2</v>
      </c>
      <c r="GK38" s="15">
        <v>4</v>
      </c>
      <c r="GL38" s="15">
        <v>2</v>
      </c>
      <c r="GM38" s="15">
        <v>2</v>
      </c>
      <c r="GN38" s="15">
        <v>3</v>
      </c>
      <c r="GO38" s="15">
        <v>4</v>
      </c>
      <c r="GP38" s="15">
        <v>3</v>
      </c>
      <c r="GQ38" s="15">
        <v>2</v>
      </c>
      <c r="GR38" s="15">
        <v>2</v>
      </c>
      <c r="GS38" s="15">
        <v>4</v>
      </c>
      <c r="GT38" s="15">
        <v>2</v>
      </c>
      <c r="GU38" s="15">
        <v>2</v>
      </c>
      <c r="GV38" s="15">
        <v>2</v>
      </c>
      <c r="GW38" s="15">
        <v>2</v>
      </c>
      <c r="GX38" s="15">
        <v>2</v>
      </c>
      <c r="GY38" s="15">
        <v>4</v>
      </c>
      <c r="GZ38" s="15">
        <v>2</v>
      </c>
      <c r="HA38" s="15">
        <v>2</v>
      </c>
      <c r="HB38" s="15">
        <v>4</v>
      </c>
      <c r="HC38" s="15">
        <v>2</v>
      </c>
      <c r="HD38" s="15">
        <v>2</v>
      </c>
      <c r="HE38" s="15">
        <v>2</v>
      </c>
      <c r="HF38" s="15">
        <v>2</v>
      </c>
      <c r="HG38" s="15">
        <v>2</v>
      </c>
      <c r="HH38" s="15">
        <v>2</v>
      </c>
      <c r="HI38" s="15">
        <v>4</v>
      </c>
      <c r="HJ38" s="15">
        <v>4</v>
      </c>
      <c r="HK38" s="15">
        <v>2</v>
      </c>
      <c r="HL38" s="15">
        <v>2</v>
      </c>
      <c r="HM38" s="15">
        <v>2</v>
      </c>
      <c r="HN38" s="15">
        <v>2</v>
      </c>
      <c r="HO38" s="15">
        <v>2</v>
      </c>
      <c r="HP38" s="15">
        <v>2</v>
      </c>
      <c r="HQ38" s="15">
        <v>2</v>
      </c>
      <c r="HR38" s="15">
        <v>2</v>
      </c>
      <c r="HS38" s="15">
        <v>3</v>
      </c>
      <c r="HT38" s="15">
        <v>2</v>
      </c>
      <c r="HU38" s="15">
        <v>2</v>
      </c>
      <c r="HV38" s="15">
        <v>2</v>
      </c>
      <c r="HW38" s="15">
        <v>2.5</v>
      </c>
      <c r="HX38" s="15">
        <v>3</v>
      </c>
      <c r="HY38" s="15">
        <v>4</v>
      </c>
      <c r="HZ38" s="15">
        <v>4</v>
      </c>
      <c r="IA38" s="15">
        <v>2.75</v>
      </c>
      <c r="IB38" s="15">
        <v>3.75</v>
      </c>
      <c r="IC38" s="15">
        <v>4.25</v>
      </c>
      <c r="ID38" s="15">
        <v>4</v>
      </c>
      <c r="IE38" s="15">
        <v>4</v>
      </c>
      <c r="IF38" s="15">
        <v>3.5</v>
      </c>
      <c r="IG38" s="15">
        <v>4</v>
      </c>
      <c r="IH38" s="15">
        <v>3.75</v>
      </c>
      <c r="II38" s="15">
        <v>3.75</v>
      </c>
      <c r="IJ38" s="15">
        <v>2.25</v>
      </c>
      <c r="IK38" s="15">
        <v>2.75</v>
      </c>
      <c r="IL38" s="15">
        <v>3</v>
      </c>
      <c r="IM38" s="15">
        <v>2.5</v>
      </c>
      <c r="IN38" s="15">
        <v>2.75</v>
      </c>
      <c r="IO38" s="15">
        <v>2.5</v>
      </c>
      <c r="IP38" s="15">
        <v>3.75</v>
      </c>
      <c r="IQ38" s="15">
        <v>4</v>
      </c>
      <c r="IR38" s="15">
        <v>2</v>
      </c>
      <c r="IS38" s="15">
        <v>3.5</v>
      </c>
      <c r="IT38" s="15">
        <v>3.25</v>
      </c>
      <c r="IU38" s="15">
        <v>3.5</v>
      </c>
      <c r="IV38" s="15">
        <v>4.25</v>
      </c>
      <c r="IW38" s="15">
        <v>4</v>
      </c>
      <c r="IX38" s="15">
        <v>3.5</v>
      </c>
      <c r="IY38" s="15">
        <v>4.25</v>
      </c>
      <c r="IZ38" s="15">
        <v>3.75</v>
      </c>
    </row>
    <row r="39" spans="1:260" s="12" customFormat="1" x14ac:dyDescent="0.3">
      <c r="A39" s="15">
        <v>40</v>
      </c>
      <c r="B39" s="15" t="s">
        <v>468</v>
      </c>
      <c r="C39" s="16">
        <v>48</v>
      </c>
      <c r="D39" s="15" t="s">
        <v>288</v>
      </c>
      <c r="E39" s="15" t="s">
        <v>289</v>
      </c>
      <c r="F39" s="15" t="s">
        <v>290</v>
      </c>
      <c r="G39" s="15" t="s">
        <v>268</v>
      </c>
      <c r="H39" s="15" t="s">
        <v>291</v>
      </c>
      <c r="I39" s="15" t="s">
        <v>270</v>
      </c>
      <c r="J39" s="15" t="s">
        <v>361</v>
      </c>
      <c r="K39" s="15" t="s">
        <v>265</v>
      </c>
      <c r="L39" s="15" t="s">
        <v>281</v>
      </c>
      <c r="M39" s="15" t="s">
        <v>304</v>
      </c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>
        <v>0</v>
      </c>
      <c r="AA39" s="15">
        <f>0</f>
        <v>0</v>
      </c>
      <c r="AB39" s="15"/>
      <c r="AC39" s="15">
        <f>1.05*2</f>
        <v>2.1</v>
      </c>
      <c r="AD39" s="15">
        <v>0</v>
      </c>
      <c r="AE39" s="15">
        <f t="shared" ref="AE39:AE53" si="14">2/2</f>
        <v>1</v>
      </c>
      <c r="AF39" s="15">
        <v>89.868381999999997</v>
      </c>
      <c r="AG39" s="15">
        <v>0</v>
      </c>
      <c r="AH39" s="15">
        <v>0</v>
      </c>
      <c r="AI39" s="15"/>
      <c r="AJ39" s="15"/>
      <c r="AK39" s="15"/>
      <c r="AL39" s="15"/>
      <c r="AM39" s="15"/>
      <c r="AN39" s="15"/>
      <c r="AO39" s="15">
        <v>0</v>
      </c>
      <c r="AP39" s="15">
        <f>3/3</f>
        <v>1</v>
      </c>
      <c r="AQ39" s="15">
        <v>11.740062</v>
      </c>
      <c r="AR39" s="15">
        <f>0</f>
        <v>0</v>
      </c>
      <c r="AS39" s="15">
        <v>0</v>
      </c>
      <c r="AT39" s="15"/>
      <c r="AU39" s="15"/>
      <c r="AV39" s="15"/>
      <c r="AW39" s="15"/>
      <c r="AX39" s="15"/>
      <c r="AY39" s="15"/>
      <c r="AZ39" s="15">
        <v>0</v>
      </c>
      <c r="BA39" s="15">
        <f t="shared" si="13"/>
        <v>1</v>
      </c>
      <c r="BB39" s="15">
        <v>10.609914</v>
      </c>
      <c r="BC39" s="15">
        <v>0</v>
      </c>
      <c r="BD39" s="15">
        <v>0</v>
      </c>
      <c r="BE39" s="15"/>
      <c r="BF39" s="15"/>
      <c r="BG39" s="15"/>
      <c r="BH39" s="15"/>
      <c r="BI39" s="15"/>
      <c r="BJ39" s="15"/>
      <c r="BK39" s="15">
        <v>0</v>
      </c>
      <c r="BL39" s="15">
        <f t="shared" si="7"/>
        <v>1</v>
      </c>
      <c r="BM39" s="15">
        <v>9.3930939999999996</v>
      </c>
      <c r="BN39" s="15">
        <v>0</v>
      </c>
      <c r="BO39" s="15">
        <v>0</v>
      </c>
      <c r="BP39" s="15">
        <f>5/5</f>
        <v>1</v>
      </c>
      <c r="BQ39" s="15">
        <v>10.038535</v>
      </c>
      <c r="BR39" s="15">
        <v>0</v>
      </c>
      <c r="BS39" s="15"/>
      <c r="BT39" s="15"/>
      <c r="BU39" s="15"/>
      <c r="BV39" s="15"/>
      <c r="BW39" s="15">
        <v>0</v>
      </c>
      <c r="BX39" s="15"/>
      <c r="BY39" s="15"/>
      <c r="BZ39" s="15"/>
      <c r="CA39" s="15"/>
      <c r="CB39" s="15"/>
      <c r="CC39" s="15"/>
      <c r="CD39" s="15">
        <v>0</v>
      </c>
      <c r="CE39" s="15">
        <f t="shared" si="11"/>
        <v>1</v>
      </c>
      <c r="CF39" s="15">
        <v>14.048228</v>
      </c>
      <c r="CG39" s="15">
        <v>2.5000000000000001E-2</v>
      </c>
      <c r="CH39" s="15">
        <v>1</v>
      </c>
      <c r="CI39" s="15">
        <v>0</v>
      </c>
      <c r="CJ39" s="15">
        <f>6/6</f>
        <v>1</v>
      </c>
      <c r="CK39" s="15">
        <f t="shared" si="12"/>
        <v>145.698215</v>
      </c>
      <c r="CL39" s="15">
        <f>2/8</f>
        <v>0.25</v>
      </c>
      <c r="CM39" s="15">
        <v>0</v>
      </c>
      <c r="CN39" s="15">
        <v>1</v>
      </c>
      <c r="CO39" s="15">
        <f>Table1[[#This Row],[TotalTrapsRisked]]/5</f>
        <v>0.2</v>
      </c>
      <c r="CP39" s="15">
        <v>0</v>
      </c>
      <c r="CQ39" s="15">
        <v>0</v>
      </c>
      <c r="CR39" s="15">
        <v>2.0833333333333332E-2</v>
      </c>
      <c r="CS39" s="15">
        <v>0.23636363636363636</v>
      </c>
      <c r="CT39" s="15">
        <v>0</v>
      </c>
      <c r="CU39" s="15">
        <v>217</v>
      </c>
      <c r="CV39" s="15">
        <v>260</v>
      </c>
      <c r="CW39" s="15">
        <v>0</v>
      </c>
      <c r="CX39" s="15"/>
      <c r="CY39" s="15"/>
      <c r="CZ39" s="15"/>
      <c r="DA39" s="15"/>
      <c r="DB39" s="15"/>
      <c r="DC39" s="15"/>
      <c r="DD39" s="15">
        <v>0</v>
      </c>
      <c r="DE39" s="15">
        <v>0</v>
      </c>
      <c r="DF39" s="15">
        <v>5</v>
      </c>
      <c r="DG39" s="15">
        <v>5</v>
      </c>
      <c r="DH39" s="15">
        <v>4</v>
      </c>
      <c r="DI39" s="15">
        <v>4</v>
      </c>
      <c r="DJ39" s="15">
        <v>5</v>
      </c>
      <c r="DK39" s="15">
        <v>4</v>
      </c>
      <c r="DL39" s="15">
        <v>2</v>
      </c>
      <c r="DM39" s="15">
        <v>5</v>
      </c>
      <c r="DN39" s="15">
        <v>1</v>
      </c>
      <c r="DO39" s="15">
        <v>4</v>
      </c>
      <c r="DP39" s="15">
        <v>2</v>
      </c>
      <c r="DQ39" s="15">
        <v>5</v>
      </c>
      <c r="DR39" s="15">
        <v>4</v>
      </c>
      <c r="DS39" s="15">
        <v>5</v>
      </c>
      <c r="DT39" s="15">
        <v>4</v>
      </c>
      <c r="DU39" s="15">
        <v>1</v>
      </c>
      <c r="DV39" s="15">
        <v>4</v>
      </c>
      <c r="DW39" s="15">
        <v>4</v>
      </c>
      <c r="DX39" s="15">
        <v>1</v>
      </c>
      <c r="DY39" s="15">
        <v>5</v>
      </c>
      <c r="DZ39" s="15">
        <v>2</v>
      </c>
      <c r="EA39" s="15">
        <v>4</v>
      </c>
      <c r="EB39" s="15">
        <v>4</v>
      </c>
      <c r="EC39" s="15">
        <v>1</v>
      </c>
      <c r="ED39" s="15">
        <v>2</v>
      </c>
      <c r="EE39" s="15">
        <v>2</v>
      </c>
      <c r="EF39" s="15">
        <v>3</v>
      </c>
      <c r="EG39" s="15">
        <v>4</v>
      </c>
      <c r="EH39" s="15">
        <v>4</v>
      </c>
      <c r="EI39" s="15">
        <v>2</v>
      </c>
      <c r="EJ39" s="15">
        <v>4</v>
      </c>
      <c r="EK39" s="15">
        <v>4</v>
      </c>
      <c r="EL39" s="15">
        <v>2</v>
      </c>
      <c r="EM39" s="15">
        <v>4</v>
      </c>
      <c r="EN39" s="15">
        <v>4</v>
      </c>
      <c r="EO39" s="15">
        <v>4</v>
      </c>
      <c r="EP39" s="15">
        <v>2</v>
      </c>
      <c r="EQ39" s="15">
        <v>3</v>
      </c>
      <c r="ER39" s="15">
        <v>1</v>
      </c>
      <c r="ES39" s="15">
        <v>2</v>
      </c>
      <c r="ET39" s="15">
        <v>2</v>
      </c>
      <c r="EU39" s="15">
        <v>2</v>
      </c>
      <c r="EV39" s="15">
        <v>4</v>
      </c>
      <c r="EW39" s="15">
        <v>5</v>
      </c>
      <c r="EX39" s="15">
        <v>5</v>
      </c>
      <c r="EY39" s="15">
        <v>4</v>
      </c>
      <c r="EZ39" s="15">
        <v>5</v>
      </c>
      <c r="FA39" s="15">
        <v>4</v>
      </c>
      <c r="FB39" s="15">
        <v>2</v>
      </c>
      <c r="FC39" s="15">
        <v>5</v>
      </c>
      <c r="FD39" s="15">
        <v>4</v>
      </c>
      <c r="FE39" s="15">
        <v>4</v>
      </c>
      <c r="FF39" s="15">
        <v>4</v>
      </c>
      <c r="FG39" s="15">
        <v>3</v>
      </c>
      <c r="FH39" s="15">
        <v>4</v>
      </c>
      <c r="FI39" s="15">
        <v>2</v>
      </c>
      <c r="FJ39" s="15">
        <v>4</v>
      </c>
      <c r="FK39" s="15">
        <v>2</v>
      </c>
      <c r="FL39" s="15">
        <v>4</v>
      </c>
      <c r="FM39" s="15">
        <v>2</v>
      </c>
      <c r="FN39" s="15">
        <v>4</v>
      </c>
      <c r="FO39" s="15">
        <v>1</v>
      </c>
      <c r="FP39" s="15">
        <v>3</v>
      </c>
      <c r="FQ39" s="15">
        <v>4</v>
      </c>
      <c r="FR39" s="15">
        <v>4</v>
      </c>
      <c r="FS39" s="15">
        <v>4</v>
      </c>
      <c r="FT39" s="15">
        <v>1</v>
      </c>
      <c r="FU39" s="15">
        <v>1</v>
      </c>
      <c r="FV39" s="15">
        <v>4</v>
      </c>
      <c r="FW39" s="15">
        <v>1</v>
      </c>
      <c r="FX39" s="15">
        <v>1</v>
      </c>
      <c r="FY39" s="15">
        <v>2</v>
      </c>
      <c r="FZ39" s="15">
        <v>4</v>
      </c>
      <c r="GA39" s="15">
        <v>2</v>
      </c>
      <c r="GB39" s="15">
        <v>1</v>
      </c>
      <c r="GC39" s="15">
        <v>1</v>
      </c>
      <c r="GD39" s="15">
        <v>1</v>
      </c>
      <c r="GE39" s="15">
        <v>2</v>
      </c>
      <c r="GF39" s="15">
        <v>2</v>
      </c>
      <c r="GG39" s="15">
        <v>1</v>
      </c>
      <c r="GH39" s="15">
        <v>2</v>
      </c>
      <c r="GI39" s="15">
        <v>2</v>
      </c>
      <c r="GJ39" s="15">
        <v>2</v>
      </c>
      <c r="GK39" s="15">
        <v>2</v>
      </c>
      <c r="GL39" s="15">
        <v>2</v>
      </c>
      <c r="GM39" s="15">
        <v>2</v>
      </c>
      <c r="GN39" s="15">
        <v>2</v>
      </c>
      <c r="GO39" s="15">
        <v>5</v>
      </c>
      <c r="GP39" s="15">
        <v>2</v>
      </c>
      <c r="GQ39" s="15">
        <v>1</v>
      </c>
      <c r="GR39" s="15">
        <v>1</v>
      </c>
      <c r="GS39" s="15">
        <v>4</v>
      </c>
      <c r="GT39" s="15">
        <v>2</v>
      </c>
      <c r="GU39" s="15">
        <v>3</v>
      </c>
      <c r="GV39" s="15">
        <v>2</v>
      </c>
      <c r="GW39" s="15">
        <v>3</v>
      </c>
      <c r="GX39" s="15">
        <v>2</v>
      </c>
      <c r="GY39" s="15">
        <v>2</v>
      </c>
      <c r="GZ39" s="15">
        <v>1</v>
      </c>
      <c r="HA39" s="15">
        <v>1</v>
      </c>
      <c r="HB39" s="15">
        <v>2</v>
      </c>
      <c r="HC39" s="15">
        <v>4</v>
      </c>
      <c r="HD39" s="15">
        <v>3</v>
      </c>
      <c r="HE39" s="15">
        <v>1</v>
      </c>
      <c r="HF39" s="15">
        <v>1</v>
      </c>
      <c r="HG39" s="15">
        <v>2</v>
      </c>
      <c r="HH39" s="15">
        <v>1</v>
      </c>
      <c r="HI39" s="15">
        <v>4</v>
      </c>
      <c r="HJ39" s="15">
        <v>3</v>
      </c>
      <c r="HK39" s="15">
        <v>1</v>
      </c>
      <c r="HL39" s="15">
        <v>1</v>
      </c>
      <c r="HM39" s="15">
        <v>4</v>
      </c>
      <c r="HN39" s="15">
        <v>1</v>
      </c>
      <c r="HO39" s="15">
        <v>2</v>
      </c>
      <c r="HP39" s="15">
        <v>4</v>
      </c>
      <c r="HQ39" s="15">
        <v>2</v>
      </c>
      <c r="HR39" s="15">
        <v>2</v>
      </c>
      <c r="HS39" s="15">
        <v>4</v>
      </c>
      <c r="HT39" s="15">
        <v>5</v>
      </c>
      <c r="HU39" s="15">
        <v>1</v>
      </c>
      <c r="HV39" s="15">
        <v>1</v>
      </c>
      <c r="HW39" s="15">
        <v>4</v>
      </c>
      <c r="HX39" s="15">
        <v>4.25</v>
      </c>
      <c r="HY39" s="15">
        <v>4.5</v>
      </c>
      <c r="HZ39" s="15">
        <v>4.75</v>
      </c>
      <c r="IA39" s="15">
        <v>3.5</v>
      </c>
      <c r="IB39" s="15">
        <v>4.5</v>
      </c>
      <c r="IC39" s="15">
        <v>4.25</v>
      </c>
      <c r="ID39" s="15">
        <v>4</v>
      </c>
      <c r="IE39" s="15">
        <v>2</v>
      </c>
      <c r="IF39" s="15">
        <v>2.75</v>
      </c>
      <c r="IG39" s="15">
        <v>2.5</v>
      </c>
      <c r="IH39" s="15">
        <v>2.5</v>
      </c>
      <c r="II39" s="15">
        <v>4.5</v>
      </c>
      <c r="IJ39" s="15">
        <v>3.25</v>
      </c>
      <c r="IK39" s="15">
        <v>3.5</v>
      </c>
      <c r="IL39" s="15">
        <v>3.25</v>
      </c>
      <c r="IM39" s="15">
        <v>2.75</v>
      </c>
      <c r="IN39" s="15">
        <v>4</v>
      </c>
      <c r="IO39" s="15">
        <v>3</v>
      </c>
      <c r="IP39" s="15">
        <v>4.5</v>
      </c>
      <c r="IQ39" s="15">
        <v>4.25</v>
      </c>
      <c r="IR39" s="15">
        <v>3.25</v>
      </c>
      <c r="IS39" s="15">
        <v>3.5</v>
      </c>
      <c r="IT39" s="15">
        <v>2.75</v>
      </c>
      <c r="IU39" s="15">
        <v>4</v>
      </c>
      <c r="IV39" s="15">
        <v>5</v>
      </c>
      <c r="IW39" s="15">
        <v>5</v>
      </c>
      <c r="IX39" s="15">
        <v>4.75</v>
      </c>
      <c r="IY39" s="15">
        <v>3.5</v>
      </c>
      <c r="IZ39" s="15">
        <v>4.5</v>
      </c>
    </row>
    <row r="40" spans="1:260" s="12" customFormat="1" x14ac:dyDescent="0.3">
      <c r="A40" s="15">
        <v>41</v>
      </c>
      <c r="B40" s="15" t="s">
        <v>468</v>
      </c>
      <c r="C40" s="16">
        <v>57</v>
      </c>
      <c r="D40" s="15" t="s">
        <v>288</v>
      </c>
      <c r="E40" s="15" t="s">
        <v>289</v>
      </c>
      <c r="F40" s="15" t="s">
        <v>290</v>
      </c>
      <c r="G40" s="15" t="s">
        <v>268</v>
      </c>
      <c r="H40" s="15" t="s">
        <v>291</v>
      </c>
      <c r="I40" s="15" t="s">
        <v>270</v>
      </c>
      <c r="J40" s="15" t="s">
        <v>364</v>
      </c>
      <c r="K40" s="15" t="s">
        <v>277</v>
      </c>
      <c r="L40" s="15" t="s">
        <v>281</v>
      </c>
      <c r="M40" s="15" t="s">
        <v>365</v>
      </c>
      <c r="N40" s="15"/>
      <c r="O40" s="15"/>
      <c r="P40" s="15"/>
      <c r="Q40" s="15"/>
      <c r="R40" s="15">
        <f>1/1</f>
        <v>1</v>
      </c>
      <c r="S40" s="15">
        <v>0</v>
      </c>
      <c r="T40" s="15">
        <v>2.526195</v>
      </c>
      <c r="U40" s="15">
        <v>0</v>
      </c>
      <c r="V40" s="15">
        <v>0</v>
      </c>
      <c r="W40" s="15">
        <v>0</v>
      </c>
      <c r="X40" s="15">
        <v>12.579108</v>
      </c>
      <c r="Y40" s="15">
        <v>0</v>
      </c>
      <c r="Z40" s="15"/>
      <c r="AA40" s="15"/>
      <c r="AB40" s="15"/>
      <c r="AC40" s="15"/>
      <c r="AD40" s="15">
        <v>0</v>
      </c>
      <c r="AE40" s="15">
        <f t="shared" si="14"/>
        <v>1</v>
      </c>
      <c r="AF40" s="15">
        <v>6.7798990000000003</v>
      </c>
      <c r="AG40" s="15">
        <f>0</f>
        <v>0</v>
      </c>
      <c r="AH40" s="15">
        <v>0</v>
      </c>
      <c r="AI40" s="15"/>
      <c r="AJ40" s="15"/>
      <c r="AK40" s="15"/>
      <c r="AL40" s="15"/>
      <c r="AM40" s="15"/>
      <c r="AN40" s="15"/>
      <c r="AO40" s="15">
        <v>0</v>
      </c>
      <c r="AP40" s="15">
        <f>2/2</f>
        <v>1</v>
      </c>
      <c r="AQ40" s="15">
        <v>15.630945000000001</v>
      </c>
      <c r="AR40" s="15">
        <f>0</f>
        <v>0</v>
      </c>
      <c r="AS40" s="15">
        <v>0</v>
      </c>
      <c r="AT40" s="15"/>
      <c r="AU40" s="15"/>
      <c r="AV40" s="15"/>
      <c r="AW40" s="15"/>
      <c r="AX40" s="15"/>
      <c r="AY40" s="15"/>
      <c r="AZ40" s="15">
        <v>0</v>
      </c>
      <c r="BA40" s="15">
        <f t="shared" si="13"/>
        <v>1</v>
      </c>
      <c r="BB40" s="15">
        <v>12.243784</v>
      </c>
      <c r="BC40" s="15">
        <v>0</v>
      </c>
      <c r="BD40" s="15">
        <v>0</v>
      </c>
      <c r="BE40" s="15"/>
      <c r="BF40" s="15"/>
      <c r="BG40" s="15"/>
      <c r="BH40" s="15"/>
      <c r="BI40" s="15"/>
      <c r="BJ40" s="15"/>
      <c r="BK40" s="15">
        <v>0</v>
      </c>
      <c r="BL40" s="15">
        <f t="shared" si="7"/>
        <v>1</v>
      </c>
      <c r="BM40" s="15">
        <v>9.4377790000000008</v>
      </c>
      <c r="BN40" s="15">
        <f>0</f>
        <v>0</v>
      </c>
      <c r="BO40" s="15">
        <v>0</v>
      </c>
      <c r="BP40" s="15">
        <f>5/5</f>
        <v>1</v>
      </c>
      <c r="BQ40" s="15">
        <v>11.482717000000001</v>
      </c>
      <c r="BR40" s="15">
        <v>0</v>
      </c>
      <c r="BS40" s="15"/>
      <c r="BT40" s="15"/>
      <c r="BU40" s="15"/>
      <c r="BV40" s="15"/>
      <c r="BW40" s="15">
        <v>0</v>
      </c>
      <c r="BX40" s="15"/>
      <c r="BY40" s="15"/>
      <c r="BZ40" s="15"/>
      <c r="CA40" s="15"/>
      <c r="CB40" s="15"/>
      <c r="CC40" s="15"/>
      <c r="CD40" s="15">
        <v>0</v>
      </c>
      <c r="CE40" s="15">
        <f t="shared" si="11"/>
        <v>1</v>
      </c>
      <c r="CF40" s="15">
        <v>15.850305000000001</v>
      </c>
      <c r="CG40" s="15">
        <v>4.7500000000000001E-2</v>
      </c>
      <c r="CH40" s="15">
        <v>0</v>
      </c>
      <c r="CI40" s="15"/>
      <c r="CJ40" s="15"/>
      <c r="CK40" s="15">
        <f t="shared" si="12"/>
        <v>86.530732000000015</v>
      </c>
      <c r="CL40" s="15">
        <f>2/8</f>
        <v>0.25</v>
      </c>
      <c r="CM40" s="15">
        <v>0</v>
      </c>
      <c r="CN40" s="15">
        <v>0</v>
      </c>
      <c r="CO40" s="15">
        <f>Table1[[#This Row],[TotalTrapsRisked]]/5</f>
        <v>0</v>
      </c>
      <c r="CP40" s="15">
        <v>0</v>
      </c>
      <c r="CQ40" s="15">
        <v>1</v>
      </c>
      <c r="CR40" s="15">
        <v>0.375</v>
      </c>
      <c r="CS40" s="15">
        <v>0.7</v>
      </c>
      <c r="CT40" s="15">
        <v>1</v>
      </c>
      <c r="CU40" s="15">
        <v>250</v>
      </c>
      <c r="CV40" s="15">
        <v>870</v>
      </c>
      <c r="CW40" s="15">
        <v>1</v>
      </c>
      <c r="CX40" s="15"/>
      <c r="CY40" s="15"/>
      <c r="CZ40" s="15"/>
      <c r="DA40" s="15"/>
      <c r="DB40" s="15"/>
      <c r="DC40" s="15"/>
      <c r="DD40" s="15">
        <v>0</v>
      </c>
      <c r="DE40" s="15">
        <v>0</v>
      </c>
      <c r="DF40" s="15">
        <v>4</v>
      </c>
      <c r="DG40" s="15">
        <v>5</v>
      </c>
      <c r="DH40" s="15">
        <v>4</v>
      </c>
      <c r="DI40" s="15">
        <v>4</v>
      </c>
      <c r="DJ40" s="15">
        <v>4</v>
      </c>
      <c r="DK40" s="15">
        <v>4</v>
      </c>
      <c r="DL40" s="15">
        <v>2</v>
      </c>
      <c r="DM40" s="15">
        <v>5</v>
      </c>
      <c r="DN40" s="15">
        <v>2</v>
      </c>
      <c r="DO40" s="15">
        <v>4</v>
      </c>
      <c r="DP40" s="15">
        <v>2</v>
      </c>
      <c r="DQ40" s="15">
        <v>4</v>
      </c>
      <c r="DR40" s="15">
        <v>4</v>
      </c>
      <c r="DS40" s="15">
        <v>5</v>
      </c>
      <c r="DT40" s="15">
        <v>5</v>
      </c>
      <c r="DU40" s="15">
        <v>2</v>
      </c>
      <c r="DV40" s="15">
        <v>2</v>
      </c>
      <c r="DW40" s="15">
        <v>4</v>
      </c>
      <c r="DX40" s="15">
        <v>1</v>
      </c>
      <c r="DY40" s="15">
        <v>4</v>
      </c>
      <c r="DZ40" s="15">
        <v>2</v>
      </c>
      <c r="EA40" s="15">
        <v>4</v>
      </c>
      <c r="EB40" s="15">
        <v>4</v>
      </c>
      <c r="EC40" s="15">
        <v>1</v>
      </c>
      <c r="ED40" s="15">
        <v>4</v>
      </c>
      <c r="EE40" s="15">
        <v>2</v>
      </c>
      <c r="EF40" s="15">
        <v>3</v>
      </c>
      <c r="EG40" s="15">
        <v>1</v>
      </c>
      <c r="EH40" s="15">
        <v>5</v>
      </c>
      <c r="EI40" s="15">
        <v>4</v>
      </c>
      <c r="EJ40" s="15">
        <v>2</v>
      </c>
      <c r="EK40" s="15">
        <v>4</v>
      </c>
      <c r="EL40" s="15">
        <v>4</v>
      </c>
      <c r="EM40" s="15">
        <v>2</v>
      </c>
      <c r="EN40" s="15">
        <v>2</v>
      </c>
      <c r="EO40" s="15">
        <v>3</v>
      </c>
      <c r="EP40" s="15">
        <v>4</v>
      </c>
      <c r="EQ40" s="15">
        <v>2</v>
      </c>
      <c r="ER40" s="15">
        <v>1</v>
      </c>
      <c r="ES40" s="15">
        <v>4</v>
      </c>
      <c r="ET40" s="15">
        <v>2</v>
      </c>
      <c r="EU40" s="15">
        <v>2</v>
      </c>
      <c r="EV40" s="15">
        <v>4</v>
      </c>
      <c r="EW40" s="15">
        <v>5</v>
      </c>
      <c r="EX40" s="15">
        <v>5</v>
      </c>
      <c r="EY40" s="15">
        <v>2</v>
      </c>
      <c r="EZ40" s="15">
        <v>2</v>
      </c>
      <c r="FA40" s="15">
        <v>2</v>
      </c>
      <c r="FB40" s="15">
        <v>2</v>
      </c>
      <c r="FC40" s="15">
        <v>2</v>
      </c>
      <c r="FD40" s="15">
        <v>2</v>
      </c>
      <c r="FE40" s="15">
        <v>2</v>
      </c>
      <c r="FF40" s="15">
        <v>4</v>
      </c>
      <c r="FG40" s="15">
        <v>3</v>
      </c>
      <c r="FH40" s="15">
        <v>2</v>
      </c>
      <c r="FI40" s="15">
        <v>2</v>
      </c>
      <c r="FJ40" s="15">
        <v>4</v>
      </c>
      <c r="FK40" s="15">
        <v>5</v>
      </c>
      <c r="FL40" s="15">
        <v>5</v>
      </c>
      <c r="FM40" s="15">
        <v>4</v>
      </c>
      <c r="FN40" s="15">
        <v>2</v>
      </c>
      <c r="FO40" s="15">
        <v>2</v>
      </c>
      <c r="FP40" s="15">
        <v>4</v>
      </c>
      <c r="FQ40" s="15">
        <v>2</v>
      </c>
      <c r="FR40" s="15">
        <v>2</v>
      </c>
      <c r="FS40" s="15">
        <v>4</v>
      </c>
      <c r="FT40" s="15">
        <v>2</v>
      </c>
      <c r="FU40" s="15">
        <v>1</v>
      </c>
      <c r="FV40" s="15">
        <v>4</v>
      </c>
      <c r="FW40" s="15">
        <v>1</v>
      </c>
      <c r="FX40" s="15">
        <v>2</v>
      </c>
      <c r="FY40" s="15">
        <v>2</v>
      </c>
      <c r="FZ40" s="15">
        <v>3</v>
      </c>
      <c r="GA40" s="15">
        <v>2</v>
      </c>
      <c r="GB40" s="15">
        <v>1</v>
      </c>
      <c r="GC40" s="15">
        <v>2</v>
      </c>
      <c r="GD40" s="15">
        <v>3</v>
      </c>
      <c r="GE40" s="15">
        <v>2</v>
      </c>
      <c r="GF40" s="15">
        <v>2</v>
      </c>
      <c r="GG40" s="15">
        <v>1</v>
      </c>
      <c r="GH40" s="15">
        <v>1</v>
      </c>
      <c r="GI40" s="15">
        <v>2</v>
      </c>
      <c r="GJ40" s="15">
        <v>2</v>
      </c>
      <c r="GK40" s="15">
        <v>2</v>
      </c>
      <c r="GL40" s="15">
        <v>2</v>
      </c>
      <c r="GM40" s="15">
        <v>2</v>
      </c>
      <c r="GN40" s="15">
        <v>1</v>
      </c>
      <c r="GO40" s="15">
        <v>5</v>
      </c>
      <c r="GP40" s="15">
        <v>1</v>
      </c>
      <c r="GQ40" s="15">
        <v>1</v>
      </c>
      <c r="GR40" s="15">
        <v>4</v>
      </c>
      <c r="GS40" s="15">
        <v>2</v>
      </c>
      <c r="GT40" s="15">
        <v>2</v>
      </c>
      <c r="GU40" s="15">
        <v>4</v>
      </c>
      <c r="GV40" s="15">
        <v>2</v>
      </c>
      <c r="GW40" s="15">
        <v>2</v>
      </c>
      <c r="GX40" s="15">
        <v>2</v>
      </c>
      <c r="GY40" s="15">
        <v>2</v>
      </c>
      <c r="GZ40" s="15">
        <v>1</v>
      </c>
      <c r="HA40" s="15">
        <v>1</v>
      </c>
      <c r="HB40" s="15">
        <v>4</v>
      </c>
      <c r="HC40" s="15">
        <v>4</v>
      </c>
      <c r="HD40" s="15">
        <v>2</v>
      </c>
      <c r="HE40" s="15">
        <v>1</v>
      </c>
      <c r="HF40" s="15">
        <v>2</v>
      </c>
      <c r="HG40" s="15">
        <v>1</v>
      </c>
      <c r="HH40" s="15">
        <v>1</v>
      </c>
      <c r="HI40" s="15">
        <v>4</v>
      </c>
      <c r="HJ40" s="15">
        <v>2</v>
      </c>
      <c r="HK40" s="15">
        <v>1</v>
      </c>
      <c r="HL40" s="15">
        <v>1</v>
      </c>
      <c r="HM40" s="15">
        <v>4</v>
      </c>
      <c r="HN40" s="15">
        <v>1</v>
      </c>
      <c r="HO40" s="15">
        <v>4</v>
      </c>
      <c r="HP40" s="15">
        <v>1</v>
      </c>
      <c r="HQ40" s="15">
        <v>2</v>
      </c>
      <c r="HR40" s="15">
        <v>2</v>
      </c>
      <c r="HS40" s="15">
        <v>4</v>
      </c>
      <c r="HT40" s="15">
        <v>2</v>
      </c>
      <c r="HU40" s="15">
        <v>1</v>
      </c>
      <c r="HV40" s="15">
        <v>2</v>
      </c>
      <c r="HW40" s="15">
        <v>2.5</v>
      </c>
      <c r="HX40" s="15">
        <v>3</v>
      </c>
      <c r="HY40" s="15">
        <v>4.75</v>
      </c>
      <c r="HZ40" s="15">
        <v>4</v>
      </c>
      <c r="IA40" s="15">
        <v>3.5</v>
      </c>
      <c r="IB40" s="15">
        <v>2.5</v>
      </c>
      <c r="IC40" s="15">
        <v>2.5</v>
      </c>
      <c r="ID40" s="15">
        <v>3.75</v>
      </c>
      <c r="IE40" s="15">
        <v>2</v>
      </c>
      <c r="IF40" s="15">
        <v>3</v>
      </c>
      <c r="IG40" s="15">
        <v>3</v>
      </c>
      <c r="IH40" s="15">
        <v>2.25</v>
      </c>
      <c r="II40" s="15">
        <v>4.25</v>
      </c>
      <c r="IJ40" s="15">
        <v>3.5</v>
      </c>
      <c r="IK40" s="15">
        <v>3.25</v>
      </c>
      <c r="IL40" s="15">
        <v>2</v>
      </c>
      <c r="IM40" s="15">
        <v>2.25</v>
      </c>
      <c r="IN40" s="15">
        <v>4</v>
      </c>
      <c r="IO40" s="15">
        <v>4</v>
      </c>
      <c r="IP40" s="15">
        <v>4.25</v>
      </c>
      <c r="IQ40" s="15">
        <v>4.25</v>
      </c>
      <c r="IR40" s="15">
        <v>4</v>
      </c>
      <c r="IS40" s="15">
        <v>3</v>
      </c>
      <c r="IT40" s="15">
        <v>3.75</v>
      </c>
      <c r="IU40" s="15">
        <v>3</v>
      </c>
      <c r="IV40" s="15">
        <v>4.75</v>
      </c>
      <c r="IW40" s="15">
        <v>4.75</v>
      </c>
      <c r="IX40" s="15">
        <v>4.75</v>
      </c>
      <c r="IY40" s="15">
        <v>4.25</v>
      </c>
      <c r="IZ40" s="15">
        <v>5</v>
      </c>
    </row>
    <row r="41" spans="1:260" s="12" customFormat="1" x14ac:dyDescent="0.3">
      <c r="A41" s="15">
        <v>42</v>
      </c>
      <c r="B41" s="15" t="s">
        <v>468</v>
      </c>
      <c r="C41" s="16">
        <v>58</v>
      </c>
      <c r="D41" s="15" t="s">
        <v>288</v>
      </c>
      <c r="E41" s="15" t="s">
        <v>289</v>
      </c>
      <c r="F41" s="15" t="s">
        <v>290</v>
      </c>
      <c r="G41" s="15" t="s">
        <v>268</v>
      </c>
      <c r="H41" s="15" t="s">
        <v>262</v>
      </c>
      <c r="I41" s="15" t="s">
        <v>270</v>
      </c>
      <c r="J41" s="15" t="s">
        <v>303</v>
      </c>
      <c r="K41" s="15" t="s">
        <v>328</v>
      </c>
      <c r="L41" s="15" t="s">
        <v>295</v>
      </c>
      <c r="M41" s="15" t="s">
        <v>296</v>
      </c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>
        <v>3</v>
      </c>
      <c r="AA41" s="15">
        <f>1/5</f>
        <v>0.2</v>
      </c>
      <c r="AB41" s="15"/>
      <c r="AC41" s="15">
        <f>1.05*3</f>
        <v>3.1500000000000004</v>
      </c>
      <c r="AD41" s="15">
        <v>0</v>
      </c>
      <c r="AE41" s="15">
        <f t="shared" si="14"/>
        <v>1</v>
      </c>
      <c r="AF41" s="15">
        <v>13.746846999999999</v>
      </c>
      <c r="AG41" s="15">
        <v>0</v>
      </c>
      <c r="AH41" s="15"/>
      <c r="AI41" s="15"/>
      <c r="AJ41" s="15"/>
      <c r="AK41" s="15"/>
      <c r="AL41" s="15"/>
      <c r="AM41" s="15"/>
      <c r="AN41" s="15"/>
      <c r="AO41" s="15">
        <v>0</v>
      </c>
      <c r="AP41" s="15">
        <f t="shared" ref="AP41:AP46" si="15">3/3</f>
        <v>1</v>
      </c>
      <c r="AQ41" s="15">
        <v>13.102069</v>
      </c>
      <c r="AR41" s="15">
        <v>0</v>
      </c>
      <c r="AS41" s="15">
        <v>0</v>
      </c>
      <c r="AT41" s="15"/>
      <c r="AU41" s="15"/>
      <c r="AV41" s="15">
        <v>0</v>
      </c>
      <c r="AW41" s="15">
        <f>3/4</f>
        <v>0.75</v>
      </c>
      <c r="AX41" s="15">
        <v>10.507346999999999</v>
      </c>
      <c r="AY41" s="15">
        <v>0.61249999999999805</v>
      </c>
      <c r="AZ41" s="15"/>
      <c r="BA41" s="15"/>
      <c r="BB41" s="15"/>
      <c r="BC41" s="15"/>
      <c r="BD41" s="15">
        <v>1</v>
      </c>
      <c r="BE41" s="15">
        <v>0</v>
      </c>
      <c r="BF41" s="15">
        <f>5/5</f>
        <v>1</v>
      </c>
      <c r="BG41" s="15"/>
      <c r="BH41" s="15"/>
      <c r="BI41" s="15"/>
      <c r="BJ41" s="15"/>
      <c r="BK41" s="15">
        <v>0</v>
      </c>
      <c r="BL41" s="15">
        <f t="shared" si="7"/>
        <v>1</v>
      </c>
      <c r="BM41" s="15">
        <v>9.9851949999999992</v>
      </c>
      <c r="BN41" s="15">
        <f>0</f>
        <v>0</v>
      </c>
      <c r="BO41" s="15"/>
      <c r="BP41" s="15"/>
      <c r="BQ41" s="15"/>
      <c r="BR41" s="15"/>
      <c r="BS41" s="15">
        <v>0</v>
      </c>
      <c r="BT41" s="15">
        <f>2/2</f>
        <v>1</v>
      </c>
      <c r="BU41" s="15">
        <v>7.7542049999999998</v>
      </c>
      <c r="BV41" s="15">
        <v>0</v>
      </c>
      <c r="BW41" s="15">
        <v>0</v>
      </c>
      <c r="BX41" s="15"/>
      <c r="BY41" s="15"/>
      <c r="BZ41" s="15"/>
      <c r="CA41" s="15"/>
      <c r="CB41" s="15"/>
      <c r="CC41" s="15"/>
      <c r="CD41" s="15">
        <v>0</v>
      </c>
      <c r="CE41" s="15">
        <f t="shared" si="11"/>
        <v>1</v>
      </c>
      <c r="CF41" s="15">
        <v>13.484214</v>
      </c>
      <c r="CG41" s="15">
        <v>5.0000000000000001E-3</v>
      </c>
      <c r="CH41" s="15">
        <v>1</v>
      </c>
      <c r="CI41" s="15">
        <v>0</v>
      </c>
      <c r="CJ41" s="15">
        <f>6/6</f>
        <v>1</v>
      </c>
      <c r="CK41" s="15">
        <f t="shared" si="12"/>
        <v>68.579876999999996</v>
      </c>
      <c r="CL41" s="15">
        <f>2/8</f>
        <v>0.25</v>
      </c>
      <c r="CM41" s="15">
        <v>1</v>
      </c>
      <c r="CN41" s="15">
        <v>2</v>
      </c>
      <c r="CO41" s="15">
        <f>Table1[[#This Row],[TotalTrapsRisked]]/5</f>
        <v>0.4</v>
      </c>
      <c r="CP41" s="15">
        <v>0</v>
      </c>
      <c r="CQ41" s="15">
        <v>0</v>
      </c>
      <c r="CR41" s="15">
        <v>0.64583333333333337</v>
      </c>
      <c r="CS41" s="15">
        <v>0.81818181818181823</v>
      </c>
      <c r="CT41" s="15">
        <v>1</v>
      </c>
      <c r="CU41" s="15">
        <v>317</v>
      </c>
      <c r="CV41" s="15">
        <v>1000</v>
      </c>
      <c r="CW41" s="15">
        <v>1</v>
      </c>
      <c r="CX41" s="15"/>
      <c r="CY41" s="15"/>
      <c r="CZ41" s="15"/>
      <c r="DA41" s="15"/>
      <c r="DB41" s="15"/>
      <c r="DC41" s="15"/>
      <c r="DD41" s="15">
        <v>0</v>
      </c>
      <c r="DE41" s="15">
        <v>0</v>
      </c>
      <c r="DF41" s="15">
        <v>4</v>
      </c>
      <c r="DG41" s="15">
        <v>4</v>
      </c>
      <c r="DH41" s="15">
        <v>3</v>
      </c>
      <c r="DI41" s="15">
        <v>3</v>
      </c>
      <c r="DJ41" s="15">
        <v>4</v>
      </c>
      <c r="DK41" s="15">
        <v>2</v>
      </c>
      <c r="DL41" s="15">
        <v>4</v>
      </c>
      <c r="DM41" s="15">
        <v>4</v>
      </c>
      <c r="DN41" s="15">
        <v>1</v>
      </c>
      <c r="DO41" s="15">
        <v>4</v>
      </c>
      <c r="DP41" s="15">
        <v>4</v>
      </c>
      <c r="DQ41" s="15">
        <v>4</v>
      </c>
      <c r="DR41" s="15">
        <v>4</v>
      </c>
      <c r="DS41" s="15">
        <v>5</v>
      </c>
      <c r="DT41" s="15">
        <v>5</v>
      </c>
      <c r="DU41" s="15">
        <v>2</v>
      </c>
      <c r="DV41" s="15">
        <v>4</v>
      </c>
      <c r="DW41" s="15">
        <v>4</v>
      </c>
      <c r="DX41" s="15">
        <v>1</v>
      </c>
      <c r="DY41" s="15">
        <v>4</v>
      </c>
      <c r="DZ41" s="15">
        <v>1</v>
      </c>
      <c r="EA41" s="15">
        <v>4</v>
      </c>
      <c r="EB41" s="15">
        <v>3</v>
      </c>
      <c r="EC41" s="15">
        <v>1</v>
      </c>
      <c r="ED41" s="15">
        <v>2</v>
      </c>
      <c r="EE41" s="15">
        <v>3</v>
      </c>
      <c r="EF41" s="15">
        <v>2</v>
      </c>
      <c r="EG41" s="15">
        <v>2</v>
      </c>
      <c r="EH41" s="15">
        <v>3</v>
      </c>
      <c r="EI41" s="15">
        <v>3</v>
      </c>
      <c r="EJ41" s="15">
        <v>4</v>
      </c>
      <c r="EK41" s="15">
        <v>4</v>
      </c>
      <c r="EL41" s="15">
        <v>4</v>
      </c>
      <c r="EM41" s="15">
        <v>3</v>
      </c>
      <c r="EN41" s="15">
        <v>3</v>
      </c>
      <c r="EO41" s="15">
        <v>4</v>
      </c>
      <c r="EP41" s="15">
        <v>1</v>
      </c>
      <c r="EQ41" s="15">
        <v>4</v>
      </c>
      <c r="ER41" s="15">
        <v>1</v>
      </c>
      <c r="ES41" s="15">
        <v>3</v>
      </c>
      <c r="ET41" s="15">
        <v>2</v>
      </c>
      <c r="EU41" s="15">
        <v>2</v>
      </c>
      <c r="EV41" s="15">
        <v>4</v>
      </c>
      <c r="EW41" s="15">
        <v>5</v>
      </c>
      <c r="EX41" s="15">
        <v>5</v>
      </c>
      <c r="EY41" s="15">
        <v>3</v>
      </c>
      <c r="EZ41" s="15">
        <v>4</v>
      </c>
      <c r="FA41" s="15">
        <v>3</v>
      </c>
      <c r="FB41" s="15">
        <v>3</v>
      </c>
      <c r="FC41" s="15">
        <v>3</v>
      </c>
      <c r="FD41" s="15">
        <v>5</v>
      </c>
      <c r="FE41" s="15">
        <v>4</v>
      </c>
      <c r="FF41" s="15">
        <v>5</v>
      </c>
      <c r="FG41" s="15">
        <v>4</v>
      </c>
      <c r="FH41" s="15">
        <v>4</v>
      </c>
      <c r="FI41" s="15">
        <v>2</v>
      </c>
      <c r="FJ41" s="15">
        <v>4</v>
      </c>
      <c r="FK41" s="15">
        <v>2</v>
      </c>
      <c r="FL41" s="15">
        <v>1</v>
      </c>
      <c r="FM41" s="15">
        <v>2</v>
      </c>
      <c r="FN41" s="15">
        <v>4</v>
      </c>
      <c r="FO41" s="15">
        <v>1</v>
      </c>
      <c r="FP41" s="15">
        <v>4</v>
      </c>
      <c r="FQ41" s="15">
        <v>3</v>
      </c>
      <c r="FR41" s="15">
        <v>3</v>
      </c>
      <c r="FS41" s="15">
        <v>4</v>
      </c>
      <c r="FT41" s="15">
        <v>2</v>
      </c>
      <c r="FU41" s="15">
        <v>1</v>
      </c>
      <c r="FV41" s="15">
        <v>4</v>
      </c>
      <c r="FW41" s="15">
        <v>1</v>
      </c>
      <c r="FX41" s="15">
        <v>2</v>
      </c>
      <c r="FY41" s="15">
        <v>3</v>
      </c>
      <c r="FZ41" s="15">
        <v>2</v>
      </c>
      <c r="GA41" s="15">
        <v>2</v>
      </c>
      <c r="GB41" s="15">
        <v>1</v>
      </c>
      <c r="GC41" s="15">
        <v>1</v>
      </c>
      <c r="GD41" s="15">
        <v>3</v>
      </c>
      <c r="GE41" s="15">
        <v>4</v>
      </c>
      <c r="GF41" s="15">
        <v>3</v>
      </c>
      <c r="GG41" s="15">
        <v>1</v>
      </c>
      <c r="GH41" s="15">
        <v>2</v>
      </c>
      <c r="GI41" s="15">
        <v>4</v>
      </c>
      <c r="GJ41" s="15">
        <v>1</v>
      </c>
      <c r="GK41" s="15">
        <v>2</v>
      </c>
      <c r="GL41" s="15">
        <v>2</v>
      </c>
      <c r="GM41" s="15">
        <v>2</v>
      </c>
      <c r="GN41" s="15">
        <v>2</v>
      </c>
      <c r="GO41" s="15">
        <v>5</v>
      </c>
      <c r="GP41" s="15">
        <v>3</v>
      </c>
      <c r="GQ41" s="15">
        <v>2</v>
      </c>
      <c r="GR41" s="15">
        <v>1</v>
      </c>
      <c r="GS41" s="15">
        <v>4</v>
      </c>
      <c r="GT41" s="15">
        <v>2</v>
      </c>
      <c r="GU41" s="15">
        <v>4</v>
      </c>
      <c r="GV41" s="15">
        <v>3</v>
      </c>
      <c r="GW41" s="15">
        <v>4</v>
      </c>
      <c r="GX41" s="15">
        <v>2</v>
      </c>
      <c r="GY41" s="15">
        <v>5</v>
      </c>
      <c r="GZ41" s="15">
        <v>2</v>
      </c>
      <c r="HA41" s="15">
        <v>2</v>
      </c>
      <c r="HB41" s="15">
        <v>2</v>
      </c>
      <c r="HC41" s="15">
        <v>4</v>
      </c>
      <c r="HD41" s="15">
        <v>4</v>
      </c>
      <c r="HE41" s="15">
        <v>1</v>
      </c>
      <c r="HF41" s="15">
        <v>1</v>
      </c>
      <c r="HG41" s="15">
        <v>1</v>
      </c>
      <c r="HH41" s="15">
        <v>1</v>
      </c>
      <c r="HI41" s="15">
        <v>5</v>
      </c>
      <c r="HJ41" s="15">
        <v>2</v>
      </c>
      <c r="HK41" s="15">
        <v>1</v>
      </c>
      <c r="HL41" s="15">
        <v>1</v>
      </c>
      <c r="HM41" s="15">
        <v>5</v>
      </c>
      <c r="HN41" s="15">
        <v>1</v>
      </c>
      <c r="HO41" s="15">
        <v>5</v>
      </c>
      <c r="HP41" s="15">
        <v>1</v>
      </c>
      <c r="HQ41" s="15">
        <v>3</v>
      </c>
      <c r="HR41" s="15">
        <v>1</v>
      </c>
      <c r="HS41" s="15">
        <v>4</v>
      </c>
      <c r="HT41" s="15">
        <v>4</v>
      </c>
      <c r="HU41" s="15">
        <v>1</v>
      </c>
      <c r="HV41" s="15">
        <v>1</v>
      </c>
      <c r="HW41" s="15">
        <v>3.5</v>
      </c>
      <c r="HX41" s="15">
        <v>3.75</v>
      </c>
      <c r="HY41" s="15">
        <v>5</v>
      </c>
      <c r="HZ41" s="15">
        <v>4</v>
      </c>
      <c r="IA41" s="15">
        <v>3.25</v>
      </c>
      <c r="IB41" s="15">
        <v>4.25</v>
      </c>
      <c r="IC41" s="15">
        <v>4</v>
      </c>
      <c r="ID41" s="15">
        <v>3.5</v>
      </c>
      <c r="IE41" s="15">
        <v>2.75</v>
      </c>
      <c r="IF41" s="15">
        <v>3.25</v>
      </c>
      <c r="IG41" s="15">
        <v>1.25</v>
      </c>
      <c r="IH41" s="15">
        <v>3</v>
      </c>
      <c r="II41" s="15">
        <v>4.25</v>
      </c>
      <c r="IJ41" s="15">
        <v>2.5</v>
      </c>
      <c r="IK41" s="15">
        <v>2.5</v>
      </c>
      <c r="IL41" s="15">
        <v>3.25</v>
      </c>
      <c r="IM41" s="15">
        <v>2.5</v>
      </c>
      <c r="IN41" s="15">
        <v>3.75</v>
      </c>
      <c r="IO41" s="15">
        <v>3.75</v>
      </c>
      <c r="IP41" s="15">
        <v>4.25</v>
      </c>
      <c r="IQ41" s="15">
        <v>4.25</v>
      </c>
      <c r="IR41" s="15">
        <v>3.5</v>
      </c>
      <c r="IS41" s="15">
        <v>2.25</v>
      </c>
      <c r="IT41" s="15">
        <v>2.25</v>
      </c>
      <c r="IU41" s="15">
        <v>3</v>
      </c>
      <c r="IV41" s="15">
        <v>4.75</v>
      </c>
      <c r="IW41" s="15">
        <v>5</v>
      </c>
      <c r="IX41" s="15">
        <v>4.5</v>
      </c>
      <c r="IY41" s="15">
        <v>4</v>
      </c>
      <c r="IZ41" s="15">
        <v>3.25</v>
      </c>
    </row>
    <row r="42" spans="1:260" s="12" customFormat="1" x14ac:dyDescent="0.3">
      <c r="A42" s="15">
        <v>43</v>
      </c>
      <c r="B42" s="15" t="s">
        <v>468</v>
      </c>
      <c r="C42" s="16">
        <v>47</v>
      </c>
      <c r="D42" s="15" t="s">
        <v>288</v>
      </c>
      <c r="E42" s="15" t="s">
        <v>366</v>
      </c>
      <c r="F42" s="15" t="s">
        <v>290</v>
      </c>
      <c r="G42" s="15" t="s">
        <v>283</v>
      </c>
      <c r="H42" s="15" t="s">
        <v>316</v>
      </c>
      <c r="I42" s="15" t="s">
        <v>270</v>
      </c>
      <c r="J42" s="15" t="s">
        <v>361</v>
      </c>
      <c r="K42" s="15" t="s">
        <v>328</v>
      </c>
      <c r="L42" s="15" t="s">
        <v>295</v>
      </c>
      <c r="M42" s="15" t="s">
        <v>296</v>
      </c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>
        <v>0</v>
      </c>
      <c r="AE42" s="15">
        <f t="shared" si="14"/>
        <v>1</v>
      </c>
      <c r="AF42" s="15">
        <f>57-29</f>
        <v>28</v>
      </c>
      <c r="AG42" s="15">
        <v>0</v>
      </c>
      <c r="AH42" s="15">
        <v>0</v>
      </c>
      <c r="AI42" s="15"/>
      <c r="AJ42" s="15"/>
      <c r="AK42" s="15"/>
      <c r="AL42" s="15"/>
      <c r="AM42" s="15"/>
      <c r="AN42" s="15"/>
      <c r="AO42" s="15">
        <f>0</f>
        <v>0</v>
      </c>
      <c r="AP42" s="15">
        <f t="shared" si="15"/>
        <v>1</v>
      </c>
      <c r="AQ42" s="15">
        <v>15.975249666666665</v>
      </c>
      <c r="AR42" s="15">
        <v>0</v>
      </c>
      <c r="AS42" s="15">
        <v>3</v>
      </c>
      <c r="AT42" s="15">
        <v>3</v>
      </c>
      <c r="AU42" s="15">
        <v>0</v>
      </c>
      <c r="AV42" s="15"/>
      <c r="AW42" s="15"/>
      <c r="AX42" s="15"/>
      <c r="AY42" s="15"/>
      <c r="AZ42" s="15">
        <v>0</v>
      </c>
      <c r="BA42" s="15">
        <f>2/2</f>
        <v>1</v>
      </c>
      <c r="BB42" s="15">
        <v>30</v>
      </c>
      <c r="BC42" s="15">
        <v>0</v>
      </c>
      <c r="BD42" s="15">
        <v>0</v>
      </c>
      <c r="BE42" s="15"/>
      <c r="BF42" s="15"/>
      <c r="BG42" s="15">
        <v>0</v>
      </c>
      <c r="BH42" s="15">
        <f>5/5</f>
        <v>1</v>
      </c>
      <c r="BI42" s="15">
        <v>50</v>
      </c>
      <c r="BJ42" s="15">
        <v>0.75</v>
      </c>
      <c r="BK42" s="15"/>
      <c r="BL42" s="15"/>
      <c r="BM42" s="15"/>
      <c r="BN42" s="15"/>
      <c r="BO42" s="15"/>
      <c r="BP42" s="15"/>
      <c r="BQ42" s="15"/>
      <c r="BR42" s="15"/>
      <c r="BS42" s="15">
        <v>0</v>
      </c>
      <c r="BT42" s="15">
        <f>2/2</f>
        <v>1</v>
      </c>
      <c r="BU42" s="15">
        <v>14</v>
      </c>
      <c r="BV42" s="15">
        <v>0</v>
      </c>
      <c r="BW42" s="15">
        <v>1</v>
      </c>
      <c r="BX42" s="15">
        <v>1</v>
      </c>
      <c r="BY42" s="15">
        <v>0</v>
      </c>
      <c r="BZ42" s="15"/>
      <c r="CA42" s="15"/>
      <c r="CB42" s="15"/>
      <c r="CC42" s="15"/>
      <c r="CD42" s="15">
        <v>0</v>
      </c>
      <c r="CE42" s="15">
        <f t="shared" si="11"/>
        <v>1</v>
      </c>
      <c r="CF42" s="15">
        <v>15.11017</v>
      </c>
      <c r="CG42" s="15">
        <v>3.5000000000000003E-2</v>
      </c>
      <c r="CH42" s="15">
        <v>0</v>
      </c>
      <c r="CI42" s="15"/>
      <c r="CJ42" s="15"/>
      <c r="CK42" s="15">
        <f t="shared" si="12"/>
        <v>153.08541966666667</v>
      </c>
      <c r="CL42" s="15">
        <f>1/8</f>
        <v>0.125</v>
      </c>
      <c r="CM42" s="15">
        <v>0</v>
      </c>
      <c r="CN42" s="15">
        <v>2</v>
      </c>
      <c r="CO42" s="15">
        <f>Table1[[#This Row],[TotalTrapsRisked]]/5</f>
        <v>0.4</v>
      </c>
      <c r="CP42" s="15">
        <v>1</v>
      </c>
      <c r="CQ42" s="15">
        <v>0</v>
      </c>
      <c r="CR42" s="15">
        <v>0.66666666666666663</v>
      </c>
      <c r="CS42" s="15">
        <v>0.86363636363636365</v>
      </c>
      <c r="CT42" s="15">
        <v>1</v>
      </c>
      <c r="CU42" s="15">
        <v>418</v>
      </c>
      <c r="CV42" s="15">
        <v>945</v>
      </c>
      <c r="CW42" s="15">
        <v>1</v>
      </c>
      <c r="CX42" s="15"/>
      <c r="CY42" s="15"/>
      <c r="CZ42" s="15"/>
      <c r="DA42" s="15"/>
      <c r="DB42" s="15"/>
      <c r="DC42" s="15"/>
      <c r="DD42" s="15">
        <v>0</v>
      </c>
      <c r="DE42" s="15">
        <v>0</v>
      </c>
      <c r="DF42" s="15">
        <v>4</v>
      </c>
      <c r="DG42" s="15">
        <v>4</v>
      </c>
      <c r="DH42" s="15">
        <v>4</v>
      </c>
      <c r="DI42" s="15">
        <v>3</v>
      </c>
      <c r="DJ42" s="15">
        <v>4</v>
      </c>
      <c r="DK42" s="15">
        <v>2</v>
      </c>
      <c r="DL42" s="15">
        <v>2</v>
      </c>
      <c r="DM42" s="15">
        <v>4</v>
      </c>
      <c r="DN42" s="15">
        <v>3</v>
      </c>
      <c r="DO42" s="15">
        <v>2</v>
      </c>
      <c r="DP42" s="15">
        <v>2</v>
      </c>
      <c r="DQ42" s="15">
        <v>3</v>
      </c>
      <c r="DR42" s="15">
        <v>2</v>
      </c>
      <c r="DS42" s="15">
        <v>4</v>
      </c>
      <c r="DT42" s="15">
        <v>4</v>
      </c>
      <c r="DU42" s="15">
        <v>3</v>
      </c>
      <c r="DV42" s="15">
        <v>4</v>
      </c>
      <c r="DW42" s="15">
        <v>2</v>
      </c>
      <c r="DX42" s="15">
        <v>1</v>
      </c>
      <c r="DY42" s="15">
        <v>4</v>
      </c>
      <c r="DZ42" s="15">
        <v>2</v>
      </c>
      <c r="EA42" s="15">
        <v>4</v>
      </c>
      <c r="EB42" s="15">
        <v>4</v>
      </c>
      <c r="EC42" s="15">
        <v>4</v>
      </c>
      <c r="ED42" s="15">
        <v>2</v>
      </c>
      <c r="EE42" s="15">
        <v>2</v>
      </c>
      <c r="EF42" s="15">
        <v>3</v>
      </c>
      <c r="EG42" s="15">
        <v>2</v>
      </c>
      <c r="EH42" s="15">
        <v>4</v>
      </c>
      <c r="EI42" s="15">
        <v>2</v>
      </c>
      <c r="EJ42" s="15">
        <v>3</v>
      </c>
      <c r="EK42" s="15">
        <v>4</v>
      </c>
      <c r="EL42" s="15">
        <v>2</v>
      </c>
      <c r="EM42" s="15">
        <v>4</v>
      </c>
      <c r="EN42" s="15">
        <v>4</v>
      </c>
      <c r="EO42" s="15">
        <v>2</v>
      </c>
      <c r="EP42" s="15">
        <v>3</v>
      </c>
      <c r="EQ42" s="15">
        <v>4</v>
      </c>
      <c r="ER42" s="15">
        <v>2</v>
      </c>
      <c r="ES42" s="15">
        <v>2</v>
      </c>
      <c r="ET42" s="15">
        <v>1</v>
      </c>
      <c r="EU42" s="15">
        <v>4</v>
      </c>
      <c r="EV42" s="15">
        <v>3</v>
      </c>
      <c r="EW42" s="15">
        <v>4</v>
      </c>
      <c r="EX42" s="15">
        <v>4</v>
      </c>
      <c r="EY42" s="15">
        <v>3</v>
      </c>
      <c r="EZ42" s="15">
        <v>4</v>
      </c>
      <c r="FA42" s="15">
        <v>4</v>
      </c>
      <c r="FB42" s="15">
        <v>2</v>
      </c>
      <c r="FC42" s="15">
        <v>4</v>
      </c>
      <c r="FD42" s="15">
        <v>2</v>
      </c>
      <c r="FE42" s="15">
        <v>3</v>
      </c>
      <c r="FF42" s="15">
        <v>4</v>
      </c>
      <c r="FG42" s="15">
        <v>4</v>
      </c>
      <c r="FH42" s="15">
        <v>4</v>
      </c>
      <c r="FI42" s="15">
        <v>3</v>
      </c>
      <c r="FJ42" s="15">
        <v>3</v>
      </c>
      <c r="FK42" s="15">
        <v>4</v>
      </c>
      <c r="FL42" s="15">
        <v>4</v>
      </c>
      <c r="FM42" s="15">
        <v>2</v>
      </c>
      <c r="FN42" s="15">
        <v>2</v>
      </c>
      <c r="FO42" s="15">
        <v>2</v>
      </c>
      <c r="FP42" s="15">
        <v>2</v>
      </c>
      <c r="FQ42" s="15">
        <v>3</v>
      </c>
      <c r="FR42" s="15">
        <v>4</v>
      </c>
      <c r="FS42" s="15">
        <v>2</v>
      </c>
      <c r="FT42" s="15">
        <v>4</v>
      </c>
      <c r="FU42" s="15">
        <v>2</v>
      </c>
      <c r="FV42" s="15">
        <v>4</v>
      </c>
      <c r="FW42" s="15">
        <v>2</v>
      </c>
      <c r="FX42" s="15">
        <v>2</v>
      </c>
      <c r="FY42" s="15">
        <v>2</v>
      </c>
      <c r="FZ42" s="15">
        <v>4</v>
      </c>
      <c r="GA42" s="15">
        <v>2</v>
      </c>
      <c r="GB42" s="15">
        <v>2</v>
      </c>
      <c r="GC42" s="15">
        <v>3</v>
      </c>
      <c r="GD42" s="15">
        <v>1</v>
      </c>
      <c r="GE42" s="15">
        <v>2</v>
      </c>
      <c r="GF42" s="15">
        <v>4</v>
      </c>
      <c r="GG42" s="15">
        <v>1</v>
      </c>
      <c r="GH42" s="15">
        <v>1</v>
      </c>
      <c r="GI42" s="15">
        <v>4</v>
      </c>
      <c r="GJ42" s="15">
        <v>2</v>
      </c>
      <c r="GK42" s="15">
        <v>2</v>
      </c>
      <c r="GL42" s="15">
        <v>4</v>
      </c>
      <c r="GM42" s="15">
        <v>1</v>
      </c>
      <c r="GN42" s="15">
        <v>2</v>
      </c>
      <c r="GO42" s="15">
        <v>5</v>
      </c>
      <c r="GP42" s="15">
        <v>2</v>
      </c>
      <c r="GQ42" s="15">
        <v>2</v>
      </c>
      <c r="GR42" s="15">
        <v>2</v>
      </c>
      <c r="GS42" s="15">
        <v>2</v>
      </c>
      <c r="GT42" s="15">
        <v>2</v>
      </c>
      <c r="GU42" s="15">
        <v>4</v>
      </c>
      <c r="GV42" s="15">
        <v>3</v>
      </c>
      <c r="GW42" s="15">
        <v>3</v>
      </c>
      <c r="GX42" s="15">
        <v>4</v>
      </c>
      <c r="GY42" s="15">
        <v>4</v>
      </c>
      <c r="GZ42" s="15">
        <v>2</v>
      </c>
      <c r="HA42" s="15">
        <v>2</v>
      </c>
      <c r="HB42" s="15">
        <v>2</v>
      </c>
      <c r="HC42" s="15">
        <v>4</v>
      </c>
      <c r="HD42" s="15">
        <v>3</v>
      </c>
      <c r="HE42" s="15">
        <v>2</v>
      </c>
      <c r="HF42" s="15">
        <v>2</v>
      </c>
      <c r="HG42" s="15">
        <v>2</v>
      </c>
      <c r="HH42" s="15">
        <v>2</v>
      </c>
      <c r="HI42" s="15">
        <v>5</v>
      </c>
      <c r="HJ42" s="15">
        <v>2</v>
      </c>
      <c r="HK42" s="15">
        <v>2</v>
      </c>
      <c r="HL42" s="15">
        <v>2</v>
      </c>
      <c r="HM42" s="15">
        <v>4</v>
      </c>
      <c r="HN42" s="15">
        <v>2</v>
      </c>
      <c r="HO42" s="15">
        <v>4</v>
      </c>
      <c r="HP42" s="15">
        <v>3</v>
      </c>
      <c r="HQ42" s="15">
        <v>2</v>
      </c>
      <c r="HR42" s="15">
        <v>2</v>
      </c>
      <c r="HS42" s="15">
        <v>4</v>
      </c>
      <c r="HT42" s="15">
        <v>4</v>
      </c>
      <c r="HU42" s="15">
        <v>2</v>
      </c>
      <c r="HV42" s="15">
        <v>1</v>
      </c>
      <c r="HW42" s="15">
        <v>3.75</v>
      </c>
      <c r="HX42" s="15">
        <v>3.5</v>
      </c>
      <c r="HY42" s="15">
        <v>3.75</v>
      </c>
      <c r="HZ42" s="15">
        <v>4.25</v>
      </c>
      <c r="IA42" s="15">
        <v>3.75</v>
      </c>
      <c r="IB42" s="15">
        <v>4.25</v>
      </c>
      <c r="IC42" s="15">
        <v>2.75</v>
      </c>
      <c r="ID42" s="15">
        <v>2</v>
      </c>
      <c r="IE42" s="15">
        <v>1.75</v>
      </c>
      <c r="IF42" s="15">
        <v>2.75</v>
      </c>
      <c r="IG42" s="15">
        <v>2.5</v>
      </c>
      <c r="IH42" s="15">
        <v>2.75</v>
      </c>
      <c r="II42" s="15">
        <v>4</v>
      </c>
      <c r="IJ42" s="15">
        <v>2.25</v>
      </c>
      <c r="IK42" s="15">
        <v>3.5</v>
      </c>
      <c r="IL42" s="15">
        <v>2.75</v>
      </c>
      <c r="IM42" s="15">
        <v>2.75</v>
      </c>
      <c r="IN42" s="15">
        <v>3.75</v>
      </c>
      <c r="IO42" s="15">
        <v>3</v>
      </c>
      <c r="IP42" s="15">
        <v>4</v>
      </c>
      <c r="IQ42" s="15">
        <v>3.25</v>
      </c>
      <c r="IR42" s="15">
        <v>2.5</v>
      </c>
      <c r="IS42" s="15">
        <v>3</v>
      </c>
      <c r="IT42" s="15">
        <v>3</v>
      </c>
      <c r="IU42" s="15">
        <v>3.25</v>
      </c>
      <c r="IV42" s="15">
        <v>3.75</v>
      </c>
      <c r="IW42" s="15">
        <v>4</v>
      </c>
      <c r="IX42" s="15">
        <v>4.5</v>
      </c>
      <c r="IY42" s="15">
        <v>2.25</v>
      </c>
      <c r="IZ42" s="15">
        <v>4</v>
      </c>
    </row>
    <row r="43" spans="1:260" s="12" customFormat="1" x14ac:dyDescent="0.3">
      <c r="A43" s="15">
        <v>45</v>
      </c>
      <c r="B43" s="15" t="s">
        <v>467</v>
      </c>
      <c r="C43" s="16">
        <v>36</v>
      </c>
      <c r="D43" s="15" t="s">
        <v>258</v>
      </c>
      <c r="E43" s="15" t="s">
        <v>289</v>
      </c>
      <c r="F43" s="15" t="s">
        <v>290</v>
      </c>
      <c r="G43" s="15" t="s">
        <v>367</v>
      </c>
      <c r="H43" s="15" t="s">
        <v>340</v>
      </c>
      <c r="I43" s="15" t="s">
        <v>270</v>
      </c>
      <c r="J43" s="15" t="s">
        <v>368</v>
      </c>
      <c r="K43" s="15" t="s">
        <v>272</v>
      </c>
      <c r="L43" s="15" t="s">
        <v>369</v>
      </c>
      <c r="M43" s="15" t="s">
        <v>370</v>
      </c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>
        <v>0</v>
      </c>
      <c r="AE43" s="15">
        <f t="shared" si="14"/>
        <v>1</v>
      </c>
      <c r="AF43" s="15">
        <v>59.991446000000003</v>
      </c>
      <c r="AG43" s="15">
        <v>0</v>
      </c>
      <c r="AH43" s="15">
        <v>0</v>
      </c>
      <c r="AI43" s="15"/>
      <c r="AJ43" s="15"/>
      <c r="AK43" s="15"/>
      <c r="AL43" s="15"/>
      <c r="AM43" s="15"/>
      <c r="AN43" s="15"/>
      <c r="AO43" s="15">
        <v>0</v>
      </c>
      <c r="AP43" s="15">
        <f t="shared" si="15"/>
        <v>1</v>
      </c>
      <c r="AQ43" s="15">
        <v>10.824463</v>
      </c>
      <c r="AR43" s="15">
        <v>0.315</v>
      </c>
      <c r="AS43" s="15">
        <v>0</v>
      </c>
      <c r="AT43" s="15"/>
      <c r="AU43" s="15"/>
      <c r="AV43" s="15"/>
      <c r="AW43" s="15"/>
      <c r="AX43" s="15"/>
      <c r="AY43" s="15"/>
      <c r="AZ43" s="15">
        <v>0</v>
      </c>
      <c r="BA43" s="15">
        <f>2/2</f>
        <v>1</v>
      </c>
      <c r="BB43" s="15">
        <v>7.3232179999999998</v>
      </c>
      <c r="BC43" s="15">
        <f>0</f>
        <v>0</v>
      </c>
      <c r="BD43" s="15">
        <v>1</v>
      </c>
      <c r="BE43" s="15">
        <v>0</v>
      </c>
      <c r="BF43" s="15">
        <f>5/5</f>
        <v>1</v>
      </c>
      <c r="BG43" s="15">
        <v>0</v>
      </c>
      <c r="BH43" s="15">
        <f>3/5</f>
        <v>0.6</v>
      </c>
      <c r="BI43" s="15">
        <v>68.335658999999993</v>
      </c>
      <c r="BJ43" s="15">
        <v>0</v>
      </c>
      <c r="BK43" s="15"/>
      <c r="BL43" s="15"/>
      <c r="BM43" s="15"/>
      <c r="BN43" s="15"/>
      <c r="BO43" s="15">
        <v>0</v>
      </c>
      <c r="BP43" s="15">
        <f>5/5</f>
        <v>1</v>
      </c>
      <c r="BQ43" s="15">
        <v>18.759543000000001</v>
      </c>
      <c r="BR43" s="15">
        <f>0</f>
        <v>0</v>
      </c>
      <c r="BS43" s="15"/>
      <c r="BT43" s="15"/>
      <c r="BU43" s="15"/>
      <c r="BV43" s="15"/>
      <c r="BW43" s="15">
        <v>0</v>
      </c>
      <c r="BX43" s="15"/>
      <c r="BY43" s="15"/>
      <c r="BZ43" s="15">
        <v>9</v>
      </c>
      <c r="CA43" s="15">
        <v>0</v>
      </c>
      <c r="CB43" s="15"/>
      <c r="CC43" s="15">
        <f>1.05*9</f>
        <v>9.4500000000000011</v>
      </c>
      <c r="CD43" s="15">
        <v>0</v>
      </c>
      <c r="CE43" s="15">
        <f t="shared" si="11"/>
        <v>1</v>
      </c>
      <c r="CF43" s="15">
        <v>13.404341000000001</v>
      </c>
      <c r="CG43" s="15">
        <v>3.5000000000000003E-2</v>
      </c>
      <c r="CH43" s="15">
        <v>0</v>
      </c>
      <c r="CI43" s="15"/>
      <c r="CJ43" s="15"/>
      <c r="CK43" s="15">
        <f t="shared" si="12"/>
        <v>178.63866999999999</v>
      </c>
      <c r="CL43" s="15">
        <f>3/8</f>
        <v>0.375</v>
      </c>
      <c r="CM43" s="15">
        <v>1</v>
      </c>
      <c r="CN43" s="15">
        <v>1</v>
      </c>
      <c r="CO43" s="15">
        <f>Table1[[#This Row],[TotalTrapsRisked]]/5</f>
        <v>0.2</v>
      </c>
      <c r="CP43" s="15">
        <v>0</v>
      </c>
      <c r="CQ43" s="15">
        <v>0</v>
      </c>
      <c r="CR43" s="15">
        <v>0.29166666666666669</v>
      </c>
      <c r="CS43" s="15">
        <v>0.42727272727272725</v>
      </c>
      <c r="CT43" s="15">
        <v>0</v>
      </c>
      <c r="CU43" s="15">
        <v>148</v>
      </c>
      <c r="CV43" s="15">
        <v>470</v>
      </c>
      <c r="CW43" s="15">
        <v>0</v>
      </c>
      <c r="CX43" s="15"/>
      <c r="CY43" s="15"/>
      <c r="CZ43" s="15"/>
      <c r="DA43" s="15"/>
      <c r="DB43" s="15"/>
      <c r="DC43" s="15"/>
      <c r="DD43" s="15">
        <v>0</v>
      </c>
      <c r="DE43" s="15">
        <v>0</v>
      </c>
      <c r="DF43" s="15">
        <v>4</v>
      </c>
      <c r="DG43" s="15">
        <v>4</v>
      </c>
      <c r="DH43" s="15">
        <v>4</v>
      </c>
      <c r="DI43" s="15">
        <v>3</v>
      </c>
      <c r="DJ43" s="15">
        <v>4</v>
      </c>
      <c r="DK43" s="15">
        <v>3</v>
      </c>
      <c r="DL43" s="15">
        <v>4</v>
      </c>
      <c r="DM43" s="15">
        <v>4</v>
      </c>
      <c r="DN43" s="15">
        <v>3</v>
      </c>
      <c r="DO43" s="15">
        <v>4</v>
      </c>
      <c r="DP43" s="15">
        <v>2</v>
      </c>
      <c r="DQ43" s="15">
        <v>4</v>
      </c>
      <c r="DR43" s="15">
        <v>3</v>
      </c>
      <c r="DS43" s="15">
        <v>4</v>
      </c>
      <c r="DT43" s="15">
        <v>4</v>
      </c>
      <c r="DU43" s="15">
        <v>3</v>
      </c>
      <c r="DV43" s="15">
        <v>3</v>
      </c>
      <c r="DW43" s="15">
        <v>3</v>
      </c>
      <c r="DX43" s="15">
        <v>2</v>
      </c>
      <c r="DY43" s="15">
        <v>4</v>
      </c>
      <c r="DZ43" s="15">
        <v>3</v>
      </c>
      <c r="EA43" s="15">
        <v>2</v>
      </c>
      <c r="EB43" s="15">
        <v>2</v>
      </c>
      <c r="EC43" s="15">
        <v>3</v>
      </c>
      <c r="ED43" s="15">
        <v>4</v>
      </c>
      <c r="EE43" s="15">
        <v>3</v>
      </c>
      <c r="EF43" s="15">
        <v>4</v>
      </c>
      <c r="EG43" s="15">
        <v>2</v>
      </c>
      <c r="EH43" s="15">
        <v>3</v>
      </c>
      <c r="EI43" s="15">
        <v>3</v>
      </c>
      <c r="EJ43" s="15">
        <v>3</v>
      </c>
      <c r="EK43" s="15">
        <v>3</v>
      </c>
      <c r="EL43" s="15">
        <v>2</v>
      </c>
      <c r="EM43" s="15">
        <v>3</v>
      </c>
      <c r="EN43" s="15">
        <v>3</v>
      </c>
      <c r="EO43" s="15">
        <v>3</v>
      </c>
      <c r="EP43" s="15">
        <v>3</v>
      </c>
      <c r="EQ43" s="15">
        <v>3</v>
      </c>
      <c r="ER43" s="15">
        <v>3</v>
      </c>
      <c r="ES43" s="15">
        <v>3</v>
      </c>
      <c r="ET43" s="15">
        <v>1</v>
      </c>
      <c r="EU43" s="15">
        <v>2</v>
      </c>
      <c r="EV43" s="15">
        <v>2</v>
      </c>
      <c r="EW43" s="15">
        <v>3</v>
      </c>
      <c r="EX43" s="15">
        <v>4</v>
      </c>
      <c r="EY43" s="15">
        <v>3</v>
      </c>
      <c r="EZ43" s="15">
        <v>4</v>
      </c>
      <c r="FA43" s="15">
        <v>3</v>
      </c>
      <c r="FB43" s="15">
        <v>1</v>
      </c>
      <c r="FC43" s="15">
        <v>4</v>
      </c>
      <c r="FD43" s="15">
        <v>3</v>
      </c>
      <c r="FE43" s="15">
        <v>4</v>
      </c>
      <c r="FF43" s="15">
        <v>2</v>
      </c>
      <c r="FG43" s="15">
        <v>4</v>
      </c>
      <c r="FH43" s="15">
        <v>4</v>
      </c>
      <c r="FI43" s="15">
        <v>4</v>
      </c>
      <c r="FJ43" s="15">
        <v>4</v>
      </c>
      <c r="FK43" s="15">
        <v>3</v>
      </c>
      <c r="FL43" s="15">
        <v>2</v>
      </c>
      <c r="FM43" s="15">
        <v>3</v>
      </c>
      <c r="FN43" s="15">
        <v>2</v>
      </c>
      <c r="FO43" s="15">
        <v>3</v>
      </c>
      <c r="FP43" s="15">
        <v>4</v>
      </c>
      <c r="FQ43" s="15">
        <v>3</v>
      </c>
      <c r="FR43" s="15">
        <v>4</v>
      </c>
      <c r="FS43" s="15">
        <v>2</v>
      </c>
      <c r="FT43" s="15">
        <v>3</v>
      </c>
      <c r="FU43" s="15">
        <v>3</v>
      </c>
      <c r="FV43" s="15">
        <v>4</v>
      </c>
      <c r="FW43" s="15">
        <v>2</v>
      </c>
      <c r="FX43" s="15">
        <v>2</v>
      </c>
      <c r="FY43" s="15">
        <v>2</v>
      </c>
      <c r="FZ43" s="15">
        <v>2</v>
      </c>
      <c r="GA43" s="15">
        <v>3</v>
      </c>
      <c r="GB43" s="15">
        <v>2</v>
      </c>
      <c r="GC43" s="15">
        <v>2</v>
      </c>
      <c r="GD43" s="15">
        <v>3</v>
      </c>
      <c r="GE43" s="15">
        <v>4</v>
      </c>
      <c r="GF43" s="15">
        <v>2</v>
      </c>
      <c r="GG43" s="15">
        <v>1</v>
      </c>
      <c r="GH43" s="15">
        <v>3</v>
      </c>
      <c r="GI43" s="15">
        <v>3</v>
      </c>
      <c r="GJ43" s="15">
        <v>4</v>
      </c>
      <c r="GK43" s="15">
        <v>2</v>
      </c>
      <c r="GL43" s="15">
        <v>4</v>
      </c>
      <c r="GM43" s="15">
        <v>2</v>
      </c>
      <c r="GN43" s="15">
        <v>3</v>
      </c>
      <c r="GO43" s="15">
        <v>4</v>
      </c>
      <c r="GP43" s="15">
        <v>2</v>
      </c>
      <c r="GQ43" s="15">
        <v>3</v>
      </c>
      <c r="GR43" s="15">
        <v>3</v>
      </c>
      <c r="GS43" s="15">
        <v>2</v>
      </c>
      <c r="GT43" s="15">
        <v>2</v>
      </c>
      <c r="GU43" s="15">
        <v>2</v>
      </c>
      <c r="GV43" s="15">
        <v>3</v>
      </c>
      <c r="GW43" s="15">
        <v>2</v>
      </c>
      <c r="GX43" s="15">
        <v>3</v>
      </c>
      <c r="GY43" s="15">
        <v>3</v>
      </c>
      <c r="GZ43" s="15">
        <v>2</v>
      </c>
      <c r="HA43" s="15">
        <v>3</v>
      </c>
      <c r="HB43" s="15">
        <v>2</v>
      </c>
      <c r="HC43" s="15">
        <v>5</v>
      </c>
      <c r="HD43" s="15">
        <v>3</v>
      </c>
      <c r="HE43" s="15">
        <v>3</v>
      </c>
      <c r="HF43" s="15">
        <v>3</v>
      </c>
      <c r="HG43" s="15">
        <v>2</v>
      </c>
      <c r="HH43" s="15">
        <v>2</v>
      </c>
      <c r="HI43" s="15">
        <v>4</v>
      </c>
      <c r="HJ43" s="15">
        <v>2</v>
      </c>
      <c r="HK43" s="15">
        <v>1</v>
      </c>
      <c r="HL43" s="15">
        <v>2</v>
      </c>
      <c r="HM43" s="15">
        <v>4</v>
      </c>
      <c r="HN43" s="15">
        <v>2</v>
      </c>
      <c r="HO43" s="15">
        <v>2</v>
      </c>
      <c r="HP43" s="15">
        <v>3</v>
      </c>
      <c r="HQ43" s="15">
        <v>2</v>
      </c>
      <c r="HR43" s="15">
        <v>4</v>
      </c>
      <c r="HS43" s="15">
        <v>5</v>
      </c>
      <c r="HT43" s="15">
        <v>2</v>
      </c>
      <c r="HU43" s="15">
        <v>2</v>
      </c>
      <c r="HV43" s="15">
        <v>3</v>
      </c>
      <c r="HW43" s="15">
        <v>3.25</v>
      </c>
      <c r="HX43" s="15">
        <v>3.75</v>
      </c>
      <c r="HY43" s="15">
        <v>4</v>
      </c>
      <c r="HZ43" s="15">
        <v>3.75</v>
      </c>
      <c r="IA43" s="15">
        <v>4</v>
      </c>
      <c r="IB43" s="15">
        <v>3</v>
      </c>
      <c r="IC43" s="15">
        <v>2.75</v>
      </c>
      <c r="ID43" s="15">
        <v>2.75</v>
      </c>
      <c r="IE43" s="15">
        <v>1.5</v>
      </c>
      <c r="IF43" s="15">
        <v>3.25</v>
      </c>
      <c r="IG43" s="15">
        <v>2.75</v>
      </c>
      <c r="IH43" s="15">
        <v>3</v>
      </c>
      <c r="II43" s="15">
        <v>3.5</v>
      </c>
      <c r="IJ43" s="15">
        <v>3.25</v>
      </c>
      <c r="IK43" s="15">
        <v>2.75</v>
      </c>
      <c r="IL43" s="15">
        <v>3.25</v>
      </c>
      <c r="IM43" s="15">
        <v>3</v>
      </c>
      <c r="IN43" s="15">
        <v>4.25</v>
      </c>
      <c r="IO43" s="15">
        <v>3</v>
      </c>
      <c r="IP43" s="15">
        <v>3.5</v>
      </c>
      <c r="IQ43" s="15">
        <v>2.75</v>
      </c>
      <c r="IR43" s="15">
        <v>3.5</v>
      </c>
      <c r="IS43" s="15">
        <v>3.5</v>
      </c>
      <c r="IT43" s="15">
        <v>3.25</v>
      </c>
      <c r="IU43" s="15">
        <v>3</v>
      </c>
      <c r="IV43" s="15">
        <v>3.25</v>
      </c>
      <c r="IW43" s="15">
        <v>3.5</v>
      </c>
      <c r="IX43" s="15">
        <v>4.75</v>
      </c>
      <c r="IY43" s="15">
        <v>2.5</v>
      </c>
      <c r="IZ43" s="15">
        <v>3</v>
      </c>
    </row>
    <row r="44" spans="1:260" s="12" customFormat="1" x14ac:dyDescent="0.3">
      <c r="A44" s="15">
        <v>46</v>
      </c>
      <c r="B44" s="15" t="s">
        <v>468</v>
      </c>
      <c r="C44" s="16">
        <v>40</v>
      </c>
      <c r="D44" s="15" t="s">
        <v>258</v>
      </c>
      <c r="E44" s="15" t="s">
        <v>366</v>
      </c>
      <c r="F44" s="15" t="s">
        <v>290</v>
      </c>
      <c r="G44" s="15" t="s">
        <v>302</v>
      </c>
      <c r="H44" s="15" t="s">
        <v>269</v>
      </c>
      <c r="I44" s="15" t="s">
        <v>270</v>
      </c>
      <c r="J44" s="15" t="s">
        <v>371</v>
      </c>
      <c r="K44" s="15" t="s">
        <v>272</v>
      </c>
      <c r="L44" s="15" t="s">
        <v>295</v>
      </c>
      <c r="M44" s="15" t="s">
        <v>296</v>
      </c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>
        <v>4</v>
      </c>
      <c r="AA44" s="15">
        <f>3/5</f>
        <v>0.6</v>
      </c>
      <c r="AB44" s="15"/>
      <c r="AC44" s="15">
        <f>1.05*4</f>
        <v>4.2</v>
      </c>
      <c r="AD44" s="15">
        <f>0</f>
        <v>0</v>
      </c>
      <c r="AE44" s="15">
        <f t="shared" si="14"/>
        <v>1</v>
      </c>
      <c r="AF44" s="15">
        <v>8.0372579999999996</v>
      </c>
      <c r="AG44" s="15">
        <v>0</v>
      </c>
      <c r="AH44" s="15">
        <v>0</v>
      </c>
      <c r="AI44" s="15"/>
      <c r="AJ44" s="15"/>
      <c r="AK44" s="15"/>
      <c r="AL44" s="15"/>
      <c r="AM44" s="15"/>
      <c r="AN44" s="15"/>
      <c r="AO44" s="15">
        <v>0</v>
      </c>
      <c r="AP44" s="15">
        <f t="shared" si="15"/>
        <v>1</v>
      </c>
      <c r="AQ44" s="15">
        <v>34.329773000000003</v>
      </c>
      <c r="AR44" s="15">
        <v>0.1</v>
      </c>
      <c r="AS44" s="15">
        <v>0</v>
      </c>
      <c r="AT44" s="15"/>
      <c r="AU44" s="15"/>
      <c r="AV44" s="15">
        <v>1</v>
      </c>
      <c r="AW44" s="15">
        <f>4/4</f>
        <v>1</v>
      </c>
      <c r="AX44" s="15">
        <v>8.1135819999999992</v>
      </c>
      <c r="AY44" s="15">
        <v>1.0425</v>
      </c>
      <c r="AZ44" s="15"/>
      <c r="BA44" s="15"/>
      <c r="BB44" s="15"/>
      <c r="BC44" s="15"/>
      <c r="BD44" s="15">
        <v>3</v>
      </c>
      <c r="BE44" s="15">
        <v>2</v>
      </c>
      <c r="BF44" s="15">
        <f>5/5</f>
        <v>1</v>
      </c>
      <c r="BG44" s="15"/>
      <c r="BH44" s="15"/>
      <c r="BI44" s="15"/>
      <c r="BJ44" s="15"/>
      <c r="BK44" s="15">
        <v>0</v>
      </c>
      <c r="BL44" s="15">
        <f t="shared" ref="BL44:BL52" si="16">2/2</f>
        <v>1</v>
      </c>
      <c r="BM44" s="15">
        <v>9.4103539999999999</v>
      </c>
      <c r="BN44" s="15">
        <f>0</f>
        <v>0</v>
      </c>
      <c r="BO44" s="15"/>
      <c r="BP44" s="15"/>
      <c r="BQ44" s="15"/>
      <c r="BR44" s="15"/>
      <c r="BS44" s="15">
        <v>0</v>
      </c>
      <c r="BT44" s="15">
        <f t="shared" ref="BT44:BT51" si="17">2/2</f>
        <v>1</v>
      </c>
      <c r="BU44" s="15">
        <v>7.6853190000000007</v>
      </c>
      <c r="BV44" s="15">
        <v>0</v>
      </c>
      <c r="BW44" s="15">
        <v>0</v>
      </c>
      <c r="BX44" s="15"/>
      <c r="BY44" s="15"/>
      <c r="BZ44" s="15"/>
      <c r="CA44" s="15"/>
      <c r="CB44" s="15"/>
      <c r="CC44" s="15"/>
      <c r="CD44" s="15">
        <v>0</v>
      </c>
      <c r="CE44" s="15">
        <f t="shared" si="11"/>
        <v>1</v>
      </c>
      <c r="CF44" s="15">
        <v>12.710843000000001</v>
      </c>
      <c r="CG44" s="15">
        <f>0.02</f>
        <v>0.02</v>
      </c>
      <c r="CH44" s="15">
        <v>1</v>
      </c>
      <c r="CI44" s="15">
        <v>0</v>
      </c>
      <c r="CJ44" s="15">
        <f>6/6</f>
        <v>1</v>
      </c>
      <c r="CK44" s="15">
        <f t="shared" si="12"/>
        <v>80.287129000000007</v>
      </c>
      <c r="CL44" s="15">
        <f>2/8</f>
        <v>0.25</v>
      </c>
      <c r="CM44" s="15">
        <v>1</v>
      </c>
      <c r="CN44" s="15">
        <v>2</v>
      </c>
      <c r="CO44" s="15">
        <f>Table1[[#This Row],[TotalTrapsRisked]]/5</f>
        <v>0.4</v>
      </c>
      <c r="CP44" s="15">
        <v>1</v>
      </c>
      <c r="CQ44" s="15">
        <v>0</v>
      </c>
      <c r="CR44" s="15">
        <v>0.41666666666666669</v>
      </c>
      <c r="CS44" s="15">
        <v>0.73636363636363633</v>
      </c>
      <c r="CT44" s="15">
        <v>2</v>
      </c>
      <c r="CU44" s="15">
        <v>284</v>
      </c>
      <c r="CV44" s="15">
        <v>1010</v>
      </c>
      <c r="CW44" s="15">
        <v>2</v>
      </c>
      <c r="CX44" s="15"/>
      <c r="CY44" s="15"/>
      <c r="CZ44" s="15"/>
      <c r="DA44" s="15"/>
      <c r="DB44" s="15"/>
      <c r="DC44" s="15"/>
      <c r="DD44" s="15">
        <v>0</v>
      </c>
      <c r="DE44" s="15">
        <v>0</v>
      </c>
      <c r="DF44" s="15">
        <v>5</v>
      </c>
      <c r="DG44" s="15">
        <v>4</v>
      </c>
      <c r="DH44" s="15">
        <v>4</v>
      </c>
      <c r="DI44" s="15">
        <v>4</v>
      </c>
      <c r="DJ44" s="15">
        <v>4</v>
      </c>
      <c r="DK44" s="15">
        <v>3</v>
      </c>
      <c r="DL44" s="15">
        <v>4</v>
      </c>
      <c r="DM44" s="15">
        <v>4</v>
      </c>
      <c r="DN44" s="15">
        <v>1</v>
      </c>
      <c r="DO44" s="15">
        <v>3</v>
      </c>
      <c r="DP44" s="15">
        <v>2</v>
      </c>
      <c r="DQ44" s="15">
        <v>5</v>
      </c>
      <c r="DR44" s="15">
        <v>4</v>
      </c>
      <c r="DS44" s="15">
        <v>5</v>
      </c>
      <c r="DT44" s="15">
        <v>5</v>
      </c>
      <c r="DU44" s="15">
        <v>2</v>
      </c>
      <c r="DV44" s="15">
        <v>3</v>
      </c>
      <c r="DW44" s="15">
        <v>4</v>
      </c>
      <c r="DX44" s="15">
        <v>1</v>
      </c>
      <c r="DY44" s="15">
        <v>4</v>
      </c>
      <c r="DZ44" s="15">
        <v>3</v>
      </c>
      <c r="EA44" s="15">
        <v>4</v>
      </c>
      <c r="EB44" s="15">
        <v>4</v>
      </c>
      <c r="EC44" s="15">
        <v>1</v>
      </c>
      <c r="ED44" s="15">
        <v>4</v>
      </c>
      <c r="EE44" s="15">
        <v>1</v>
      </c>
      <c r="EF44" s="15">
        <v>4</v>
      </c>
      <c r="EG44" s="15">
        <v>1</v>
      </c>
      <c r="EH44" s="15">
        <v>5</v>
      </c>
      <c r="EI44" s="15">
        <v>2</v>
      </c>
      <c r="EJ44" s="15">
        <v>2</v>
      </c>
      <c r="EK44" s="15">
        <v>4</v>
      </c>
      <c r="EL44" s="15">
        <v>4</v>
      </c>
      <c r="EM44" s="15">
        <v>3</v>
      </c>
      <c r="EN44" s="15">
        <v>4</v>
      </c>
      <c r="EO44" s="15">
        <v>1</v>
      </c>
      <c r="EP44" s="15">
        <v>3</v>
      </c>
      <c r="EQ44" s="15">
        <v>4</v>
      </c>
      <c r="ER44" s="15">
        <v>1</v>
      </c>
      <c r="ES44" s="15">
        <v>1</v>
      </c>
      <c r="ET44" s="15">
        <v>1</v>
      </c>
      <c r="EU44" s="15">
        <v>5</v>
      </c>
      <c r="EV44" s="15">
        <v>5</v>
      </c>
      <c r="EW44" s="15">
        <v>5</v>
      </c>
      <c r="EX44" s="15">
        <v>5</v>
      </c>
      <c r="EY44" s="15">
        <v>2</v>
      </c>
      <c r="EZ44" s="15">
        <v>4</v>
      </c>
      <c r="FA44" s="15">
        <v>2</v>
      </c>
      <c r="FB44" s="15">
        <v>1</v>
      </c>
      <c r="FC44" s="15">
        <v>4</v>
      </c>
      <c r="FD44" s="15">
        <v>4</v>
      </c>
      <c r="FE44" s="15">
        <v>4</v>
      </c>
      <c r="FF44" s="15">
        <v>2</v>
      </c>
      <c r="FG44" s="15">
        <v>3</v>
      </c>
      <c r="FH44" s="15">
        <v>5</v>
      </c>
      <c r="FI44" s="15">
        <v>2</v>
      </c>
      <c r="FJ44" s="15">
        <v>4</v>
      </c>
      <c r="FK44" s="15">
        <v>4</v>
      </c>
      <c r="FL44" s="15">
        <v>5</v>
      </c>
      <c r="FM44" s="15">
        <v>2</v>
      </c>
      <c r="FN44" s="15">
        <v>1</v>
      </c>
      <c r="FO44" s="15">
        <v>1</v>
      </c>
      <c r="FP44" s="15">
        <v>5</v>
      </c>
      <c r="FQ44" s="15">
        <v>3</v>
      </c>
      <c r="FR44" s="15">
        <v>5</v>
      </c>
      <c r="FS44" s="15">
        <v>1</v>
      </c>
      <c r="FT44" s="15">
        <v>2</v>
      </c>
      <c r="FU44" s="15">
        <v>1</v>
      </c>
      <c r="FV44" s="15">
        <v>4</v>
      </c>
      <c r="FW44" s="15">
        <v>1</v>
      </c>
      <c r="FX44" s="15">
        <v>1</v>
      </c>
      <c r="FY44" s="15">
        <v>2</v>
      </c>
      <c r="FZ44" s="15">
        <v>5</v>
      </c>
      <c r="GA44" s="15">
        <v>2</v>
      </c>
      <c r="GB44" s="15">
        <v>1</v>
      </c>
      <c r="GC44" s="15">
        <v>2</v>
      </c>
      <c r="GD44" s="15">
        <v>2</v>
      </c>
      <c r="GE44" s="15">
        <v>4</v>
      </c>
      <c r="GF44" s="15">
        <v>2</v>
      </c>
      <c r="GG44" s="15">
        <v>1</v>
      </c>
      <c r="GH44" s="15">
        <v>1</v>
      </c>
      <c r="GI44" s="15">
        <v>3</v>
      </c>
      <c r="GJ44" s="15">
        <v>4</v>
      </c>
      <c r="GK44" s="15">
        <v>2</v>
      </c>
      <c r="GL44" s="15">
        <v>3</v>
      </c>
      <c r="GM44" s="15">
        <v>1</v>
      </c>
      <c r="GN44" s="15">
        <v>1</v>
      </c>
      <c r="GO44" s="15">
        <v>5</v>
      </c>
      <c r="GP44" s="15">
        <v>2</v>
      </c>
      <c r="GQ44" s="15">
        <v>1</v>
      </c>
      <c r="GR44" s="15">
        <v>3</v>
      </c>
      <c r="GS44" s="15">
        <v>2</v>
      </c>
      <c r="GT44" s="15">
        <v>1</v>
      </c>
      <c r="GU44" s="15">
        <v>4</v>
      </c>
      <c r="GV44" s="15">
        <v>1</v>
      </c>
      <c r="GW44" s="15">
        <v>5</v>
      </c>
      <c r="GX44" s="15">
        <v>5</v>
      </c>
      <c r="GY44" s="15">
        <v>3</v>
      </c>
      <c r="GZ44" s="15">
        <v>1</v>
      </c>
      <c r="HA44" s="15">
        <v>1</v>
      </c>
      <c r="HB44" s="15">
        <v>2</v>
      </c>
      <c r="HC44" s="15">
        <v>5</v>
      </c>
      <c r="HD44" s="15">
        <v>1</v>
      </c>
      <c r="HE44" s="15">
        <v>1</v>
      </c>
      <c r="HF44" s="15">
        <v>1</v>
      </c>
      <c r="HG44" s="15">
        <v>1</v>
      </c>
      <c r="HH44" s="15">
        <v>1</v>
      </c>
      <c r="HI44" s="15">
        <v>4</v>
      </c>
      <c r="HJ44" s="15">
        <v>2</v>
      </c>
      <c r="HK44" s="15">
        <v>1</v>
      </c>
      <c r="HL44" s="15">
        <v>1</v>
      </c>
      <c r="HM44" s="15">
        <v>4</v>
      </c>
      <c r="HN44" s="15">
        <v>1</v>
      </c>
      <c r="HO44" s="15">
        <v>1</v>
      </c>
      <c r="HP44" s="15">
        <v>1</v>
      </c>
      <c r="HQ44" s="15">
        <v>1</v>
      </c>
      <c r="HR44" s="15">
        <v>4</v>
      </c>
      <c r="HS44" s="15">
        <v>5</v>
      </c>
      <c r="HT44" s="15">
        <v>4</v>
      </c>
      <c r="HU44" s="15">
        <v>1</v>
      </c>
      <c r="HV44" s="15">
        <v>1</v>
      </c>
      <c r="HW44" s="15">
        <v>4.5</v>
      </c>
      <c r="HX44" s="15">
        <v>4.25</v>
      </c>
      <c r="HY44" s="15">
        <v>4.75</v>
      </c>
      <c r="HZ44" s="15">
        <v>4.5</v>
      </c>
      <c r="IA44" s="15">
        <v>4.75</v>
      </c>
      <c r="IB44" s="15">
        <v>4</v>
      </c>
      <c r="IC44" s="15">
        <v>2.5</v>
      </c>
      <c r="ID44" s="15">
        <v>1.5</v>
      </c>
      <c r="IE44" s="15">
        <v>1.5</v>
      </c>
      <c r="IF44" s="15">
        <v>2.75</v>
      </c>
      <c r="IG44" s="15">
        <v>2.5</v>
      </c>
      <c r="IH44" s="15">
        <v>1.5</v>
      </c>
      <c r="II44" s="15">
        <v>4.5</v>
      </c>
      <c r="IJ44" s="15">
        <v>3.5</v>
      </c>
      <c r="IK44" s="15">
        <v>5</v>
      </c>
      <c r="IL44" s="15">
        <v>3.25</v>
      </c>
      <c r="IM44" s="15">
        <v>3.25</v>
      </c>
      <c r="IN44" s="15">
        <v>4.5</v>
      </c>
      <c r="IO44" s="15">
        <v>4.25</v>
      </c>
      <c r="IP44" s="15">
        <v>4.5</v>
      </c>
      <c r="IQ44" s="15">
        <v>4.5</v>
      </c>
      <c r="IR44" s="15">
        <v>4</v>
      </c>
      <c r="IS44" s="15">
        <v>4.25</v>
      </c>
      <c r="IT44" s="15">
        <v>2.75</v>
      </c>
      <c r="IU44" s="15">
        <v>3.75</v>
      </c>
      <c r="IV44" s="15">
        <v>5</v>
      </c>
      <c r="IW44" s="15">
        <v>5</v>
      </c>
      <c r="IX44" s="15">
        <v>5</v>
      </c>
      <c r="IY44" s="15">
        <v>4</v>
      </c>
      <c r="IZ44" s="15">
        <v>5</v>
      </c>
    </row>
    <row r="45" spans="1:260" s="12" customFormat="1" x14ac:dyDescent="0.3">
      <c r="A45" s="15">
        <v>47</v>
      </c>
      <c r="B45" s="15" t="s">
        <v>468</v>
      </c>
      <c r="C45" s="16">
        <v>54</v>
      </c>
      <c r="D45" s="15" t="s">
        <v>258</v>
      </c>
      <c r="E45" s="15" t="s">
        <v>289</v>
      </c>
      <c r="F45" s="15" t="s">
        <v>290</v>
      </c>
      <c r="G45" s="15" t="s">
        <v>302</v>
      </c>
      <c r="H45" s="15" t="s">
        <v>269</v>
      </c>
      <c r="I45" s="15" t="s">
        <v>270</v>
      </c>
      <c r="J45" s="15" t="s">
        <v>372</v>
      </c>
      <c r="K45" s="15" t="s">
        <v>277</v>
      </c>
      <c r="L45" s="15" t="s">
        <v>373</v>
      </c>
      <c r="M45" s="15" t="s">
        <v>374</v>
      </c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>
        <v>2</v>
      </c>
      <c r="AA45" s="15">
        <f>3/5</f>
        <v>0.6</v>
      </c>
      <c r="AB45" s="15"/>
      <c r="AC45" s="15">
        <f>1.05*2</f>
        <v>2.1</v>
      </c>
      <c r="AD45" s="15">
        <v>0</v>
      </c>
      <c r="AE45" s="15">
        <f t="shared" si="14"/>
        <v>1</v>
      </c>
      <c r="AF45" s="15">
        <v>5.7392879999999993</v>
      </c>
      <c r="AG45" s="15">
        <v>0</v>
      </c>
      <c r="AH45" s="15">
        <v>0</v>
      </c>
      <c r="AI45" s="15"/>
      <c r="AJ45" s="15"/>
      <c r="AK45" s="15">
        <v>1</v>
      </c>
      <c r="AL45" s="15">
        <v>0</v>
      </c>
      <c r="AM45" s="15"/>
      <c r="AN45" s="15">
        <f>1.1</f>
        <v>1.1000000000000001</v>
      </c>
      <c r="AO45" s="15">
        <v>0</v>
      </c>
      <c r="AP45" s="15">
        <f t="shared" si="15"/>
        <v>1</v>
      </c>
      <c r="AQ45" s="15">
        <v>14.249075999999999</v>
      </c>
      <c r="AR45" s="15">
        <v>0</v>
      </c>
      <c r="AS45" s="15">
        <v>0</v>
      </c>
      <c r="AT45" s="15"/>
      <c r="AU45" s="15"/>
      <c r="AV45" s="15"/>
      <c r="AW45" s="15"/>
      <c r="AX45" s="15"/>
      <c r="AY45" s="15"/>
      <c r="AZ45" s="15">
        <v>0</v>
      </c>
      <c r="BA45" s="15">
        <f t="shared" ref="BA45:BA53" si="18">2/2</f>
        <v>1</v>
      </c>
      <c r="BB45" s="15">
        <v>11.320084999999999</v>
      </c>
      <c r="BC45" s="15">
        <v>0</v>
      </c>
      <c r="BD45" s="15">
        <v>0</v>
      </c>
      <c r="BE45" s="15"/>
      <c r="BF45" s="15"/>
      <c r="BG45" s="15"/>
      <c r="BH45" s="15"/>
      <c r="BI45" s="15"/>
      <c r="BJ45" s="15"/>
      <c r="BK45" s="15">
        <v>0</v>
      </c>
      <c r="BL45" s="15">
        <f t="shared" si="16"/>
        <v>1</v>
      </c>
      <c r="BM45" s="15">
        <v>9.4268850000000004</v>
      </c>
      <c r="BN45" s="15">
        <v>0</v>
      </c>
      <c r="BO45" s="15"/>
      <c r="BP45" s="15"/>
      <c r="BQ45" s="15"/>
      <c r="BR45" s="15"/>
      <c r="BS45" s="15">
        <v>0</v>
      </c>
      <c r="BT45" s="15">
        <f t="shared" si="17"/>
        <v>1</v>
      </c>
      <c r="BU45" s="15">
        <v>7.8356080000000006</v>
      </c>
      <c r="BV45" s="15">
        <v>0</v>
      </c>
      <c r="BW45" s="15">
        <v>0</v>
      </c>
      <c r="BX45" s="15"/>
      <c r="BY45" s="15"/>
      <c r="BZ45" s="15"/>
      <c r="CA45" s="15"/>
      <c r="CB45" s="15"/>
      <c r="CC45" s="15"/>
      <c r="CD45" s="15">
        <v>0</v>
      </c>
      <c r="CE45" s="15">
        <f t="shared" si="11"/>
        <v>1</v>
      </c>
      <c r="CF45" s="15">
        <v>14.845640999999999</v>
      </c>
      <c r="CG45" s="15">
        <v>4.7500000000000001E-2</v>
      </c>
      <c r="CH45" s="15">
        <v>0</v>
      </c>
      <c r="CI45" s="15"/>
      <c r="CJ45" s="15"/>
      <c r="CK45" s="15">
        <f t="shared" si="12"/>
        <v>63.416582999999996</v>
      </c>
      <c r="CL45" s="15">
        <f>2/8</f>
        <v>0.25</v>
      </c>
      <c r="CM45" s="15">
        <v>1</v>
      </c>
      <c r="CN45" s="15">
        <v>0</v>
      </c>
      <c r="CO45" s="15">
        <f>Table1[[#This Row],[TotalTrapsRisked]]/5</f>
        <v>0</v>
      </c>
      <c r="CP45" s="15">
        <v>0</v>
      </c>
      <c r="CQ45" s="15">
        <v>0</v>
      </c>
      <c r="CR45" s="15">
        <v>0.1875</v>
      </c>
      <c r="CS45" s="15">
        <v>0.36363636363636365</v>
      </c>
      <c r="CT45" s="15">
        <v>0</v>
      </c>
      <c r="CU45" s="15">
        <v>149</v>
      </c>
      <c r="CV45" s="15">
        <v>400</v>
      </c>
      <c r="CW45" s="15">
        <v>0</v>
      </c>
      <c r="CX45" s="15"/>
      <c r="CY45" s="15"/>
      <c r="CZ45" s="15"/>
      <c r="DA45" s="15"/>
      <c r="DB45" s="15"/>
      <c r="DC45" s="15"/>
      <c r="DD45" s="15">
        <v>0</v>
      </c>
      <c r="DE45" s="15">
        <v>0</v>
      </c>
      <c r="DF45" s="15">
        <v>4</v>
      </c>
      <c r="DG45" s="15">
        <v>2</v>
      </c>
      <c r="DH45" s="15">
        <v>5</v>
      </c>
      <c r="DI45" s="15">
        <v>3</v>
      </c>
      <c r="DJ45" s="15">
        <v>4</v>
      </c>
      <c r="DK45" s="15">
        <v>2</v>
      </c>
      <c r="DL45" s="15">
        <v>3</v>
      </c>
      <c r="DM45" s="15">
        <v>4</v>
      </c>
      <c r="DN45" s="15">
        <v>1</v>
      </c>
      <c r="DO45" s="15">
        <v>1</v>
      </c>
      <c r="DP45" s="15">
        <v>4</v>
      </c>
      <c r="DQ45" s="15">
        <v>5</v>
      </c>
      <c r="DR45" s="15">
        <v>4</v>
      </c>
      <c r="DS45" s="15">
        <v>5</v>
      </c>
      <c r="DT45" s="15">
        <v>5</v>
      </c>
      <c r="DU45" s="15">
        <v>4</v>
      </c>
      <c r="DV45" s="15">
        <v>3</v>
      </c>
      <c r="DW45" s="15">
        <v>3</v>
      </c>
      <c r="DX45" s="15">
        <v>2</v>
      </c>
      <c r="DY45" s="15">
        <v>2</v>
      </c>
      <c r="DZ45" s="15">
        <v>5</v>
      </c>
      <c r="EA45" s="15">
        <v>5</v>
      </c>
      <c r="EB45" s="15">
        <v>5</v>
      </c>
      <c r="EC45" s="15">
        <v>3</v>
      </c>
      <c r="ED45" s="15">
        <v>4</v>
      </c>
      <c r="EE45" s="15">
        <v>2</v>
      </c>
      <c r="EF45" s="15">
        <v>3</v>
      </c>
      <c r="EG45" s="15">
        <v>1</v>
      </c>
      <c r="EH45" s="15">
        <v>5</v>
      </c>
      <c r="EI45" s="15">
        <v>4</v>
      </c>
      <c r="EJ45" s="15">
        <v>1</v>
      </c>
      <c r="EK45" s="15">
        <v>2</v>
      </c>
      <c r="EL45" s="15">
        <v>5</v>
      </c>
      <c r="EM45" s="15">
        <v>4</v>
      </c>
      <c r="EN45" s="15">
        <v>4</v>
      </c>
      <c r="EO45" s="15">
        <v>2</v>
      </c>
      <c r="EP45" s="15">
        <v>2</v>
      </c>
      <c r="EQ45" s="15">
        <v>5</v>
      </c>
      <c r="ER45" s="15">
        <v>2</v>
      </c>
      <c r="ES45" s="15">
        <v>4</v>
      </c>
      <c r="ET45" s="15">
        <v>4</v>
      </c>
      <c r="EU45" s="15">
        <v>3</v>
      </c>
      <c r="EV45" s="15">
        <v>5</v>
      </c>
      <c r="EW45" s="15">
        <v>5</v>
      </c>
      <c r="EX45" s="15">
        <v>4</v>
      </c>
      <c r="EY45" s="15">
        <v>5</v>
      </c>
      <c r="EZ45" s="15">
        <v>5</v>
      </c>
      <c r="FA45" s="15">
        <v>2</v>
      </c>
      <c r="FB45" s="15">
        <v>1</v>
      </c>
      <c r="FC45" s="15">
        <v>4</v>
      </c>
      <c r="FD45" s="15">
        <v>3</v>
      </c>
      <c r="FE45" s="15">
        <v>3</v>
      </c>
      <c r="FF45" s="15">
        <v>1</v>
      </c>
      <c r="FG45" s="15">
        <v>3</v>
      </c>
      <c r="FH45" s="15">
        <v>4</v>
      </c>
      <c r="FI45" s="15">
        <v>3</v>
      </c>
      <c r="FJ45" s="15">
        <v>3</v>
      </c>
      <c r="FK45" s="15">
        <v>5</v>
      </c>
      <c r="FL45" s="15">
        <v>3</v>
      </c>
      <c r="FM45" s="15">
        <v>3</v>
      </c>
      <c r="FN45" s="15">
        <v>3</v>
      </c>
      <c r="FO45" s="15">
        <v>2</v>
      </c>
      <c r="FP45" s="15">
        <v>5</v>
      </c>
      <c r="FQ45" s="15">
        <v>3</v>
      </c>
      <c r="FR45" s="15">
        <v>5</v>
      </c>
      <c r="FS45" s="15">
        <v>2</v>
      </c>
      <c r="FT45" s="15">
        <v>5</v>
      </c>
      <c r="FU45" s="15">
        <v>1</v>
      </c>
      <c r="FV45" s="15">
        <v>4</v>
      </c>
      <c r="FW45" s="15">
        <v>1</v>
      </c>
      <c r="FX45" s="15">
        <v>5</v>
      </c>
      <c r="FY45" s="15">
        <v>3</v>
      </c>
      <c r="FZ45" s="15">
        <v>4</v>
      </c>
      <c r="GA45" s="15">
        <v>1</v>
      </c>
      <c r="GB45" s="15">
        <v>1</v>
      </c>
      <c r="GC45" s="15">
        <v>3</v>
      </c>
      <c r="GD45" s="15">
        <v>3</v>
      </c>
      <c r="GE45" s="15">
        <v>3</v>
      </c>
      <c r="GF45" s="15">
        <v>3</v>
      </c>
      <c r="GG45" s="15">
        <v>1</v>
      </c>
      <c r="GH45" s="15">
        <v>3</v>
      </c>
      <c r="GI45" s="15">
        <v>1</v>
      </c>
      <c r="GJ45" s="15">
        <v>3</v>
      </c>
      <c r="GK45" s="15">
        <v>1</v>
      </c>
      <c r="GL45" s="15">
        <v>3</v>
      </c>
      <c r="GM45" s="15">
        <v>4</v>
      </c>
      <c r="GN45" s="15">
        <v>1</v>
      </c>
      <c r="GO45" s="15">
        <v>2</v>
      </c>
      <c r="GP45" s="15">
        <v>1</v>
      </c>
      <c r="GQ45" s="15">
        <v>1</v>
      </c>
      <c r="GR45" s="15">
        <v>4</v>
      </c>
      <c r="GS45" s="15">
        <v>3</v>
      </c>
      <c r="GT45" s="15">
        <v>4</v>
      </c>
      <c r="GU45" s="15">
        <v>5</v>
      </c>
      <c r="GV45" s="15">
        <v>2</v>
      </c>
      <c r="GW45" s="15">
        <v>4</v>
      </c>
      <c r="GX45" s="15">
        <v>4</v>
      </c>
      <c r="GY45" s="15">
        <v>4</v>
      </c>
      <c r="GZ45" s="15">
        <v>2</v>
      </c>
      <c r="HA45" s="15">
        <v>1</v>
      </c>
      <c r="HB45" s="15">
        <v>1</v>
      </c>
      <c r="HC45" s="15">
        <v>2</v>
      </c>
      <c r="HD45" s="15">
        <v>2</v>
      </c>
      <c r="HE45" s="15">
        <v>1</v>
      </c>
      <c r="HF45" s="15">
        <v>2</v>
      </c>
      <c r="HG45" s="15">
        <v>1</v>
      </c>
      <c r="HH45" s="15">
        <v>1</v>
      </c>
      <c r="HI45" s="15">
        <v>4</v>
      </c>
      <c r="HJ45" s="15">
        <v>1</v>
      </c>
      <c r="HK45" s="15">
        <v>2</v>
      </c>
      <c r="HL45" s="15">
        <v>3</v>
      </c>
      <c r="HM45" s="15">
        <v>1</v>
      </c>
      <c r="HN45" s="15">
        <v>2</v>
      </c>
      <c r="HO45" s="15">
        <v>1</v>
      </c>
      <c r="HP45" s="15">
        <v>1</v>
      </c>
      <c r="HQ45" s="15">
        <v>1</v>
      </c>
      <c r="HR45" s="15">
        <v>3</v>
      </c>
      <c r="HS45" s="15">
        <v>3</v>
      </c>
      <c r="HT45" s="15">
        <v>4</v>
      </c>
      <c r="HU45" s="15">
        <v>3</v>
      </c>
      <c r="HV45" s="15">
        <v>2</v>
      </c>
      <c r="HW45" s="15">
        <v>4.25</v>
      </c>
      <c r="HX45" s="15">
        <v>2.25</v>
      </c>
      <c r="HY45" s="15">
        <v>4.25</v>
      </c>
      <c r="HZ45" s="15">
        <v>3</v>
      </c>
      <c r="IA45" s="15">
        <v>3.75</v>
      </c>
      <c r="IB45" s="15">
        <v>2.75</v>
      </c>
      <c r="IC45" s="15">
        <v>2.75</v>
      </c>
      <c r="ID45" s="15">
        <v>2</v>
      </c>
      <c r="IE45" s="15">
        <v>3.75</v>
      </c>
      <c r="IF45" s="15">
        <v>4.25</v>
      </c>
      <c r="IG45" s="15">
        <v>4.5</v>
      </c>
      <c r="IH45" s="15">
        <v>2.25</v>
      </c>
      <c r="II45" s="15">
        <v>2.5</v>
      </c>
      <c r="IJ45" s="15">
        <v>2</v>
      </c>
      <c r="IK45" s="15">
        <v>4</v>
      </c>
      <c r="IL45" s="15">
        <v>3.25</v>
      </c>
      <c r="IM45" s="15">
        <v>3.25</v>
      </c>
      <c r="IN45" s="15">
        <v>2.75</v>
      </c>
      <c r="IO45" s="15">
        <v>5</v>
      </c>
      <c r="IP45" s="15">
        <v>4.5</v>
      </c>
      <c r="IQ45" s="15">
        <v>4.75</v>
      </c>
      <c r="IR45" s="15">
        <v>3.75</v>
      </c>
      <c r="IS45" s="15">
        <v>5</v>
      </c>
      <c r="IT45" s="15">
        <v>3.25</v>
      </c>
      <c r="IU45" s="15">
        <v>3.5</v>
      </c>
      <c r="IV45" s="15">
        <v>4.75</v>
      </c>
      <c r="IW45" s="15">
        <v>4.75</v>
      </c>
      <c r="IX45" s="15">
        <v>4.5</v>
      </c>
      <c r="IY45" s="15">
        <v>3.5</v>
      </c>
      <c r="IZ45" s="15">
        <v>4</v>
      </c>
    </row>
    <row r="46" spans="1:260" s="12" customFormat="1" x14ac:dyDescent="0.3">
      <c r="A46" s="15">
        <v>48</v>
      </c>
      <c r="B46" s="15" t="s">
        <v>469</v>
      </c>
      <c r="C46" s="16">
        <v>53</v>
      </c>
      <c r="D46" s="15" t="s">
        <v>258</v>
      </c>
      <c r="E46" s="15" t="s">
        <v>289</v>
      </c>
      <c r="F46" s="15" t="s">
        <v>290</v>
      </c>
      <c r="G46" s="15" t="s">
        <v>268</v>
      </c>
      <c r="H46" s="15" t="s">
        <v>269</v>
      </c>
      <c r="I46" s="15" t="s">
        <v>270</v>
      </c>
      <c r="J46" s="15" t="s">
        <v>375</v>
      </c>
      <c r="K46" s="15" t="s">
        <v>277</v>
      </c>
      <c r="L46" s="15" t="s">
        <v>278</v>
      </c>
      <c r="M46" s="15" t="s">
        <v>376</v>
      </c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>
        <v>0</v>
      </c>
      <c r="AE46" s="15">
        <f t="shared" si="14"/>
        <v>1</v>
      </c>
      <c r="AF46" s="15">
        <v>7.689228</v>
      </c>
      <c r="AG46" s="15">
        <v>0</v>
      </c>
      <c r="AH46" s="15">
        <v>0</v>
      </c>
      <c r="AI46" s="15"/>
      <c r="AJ46" s="15"/>
      <c r="AK46" s="15"/>
      <c r="AL46" s="15"/>
      <c r="AM46" s="15"/>
      <c r="AN46" s="15"/>
      <c r="AO46" s="15">
        <v>0</v>
      </c>
      <c r="AP46" s="15">
        <f t="shared" si="15"/>
        <v>1</v>
      </c>
      <c r="AQ46" s="15">
        <v>17.101628999999999</v>
      </c>
      <c r="AR46" s="15">
        <v>0.155</v>
      </c>
      <c r="AS46" s="15">
        <v>0</v>
      </c>
      <c r="AT46" s="15"/>
      <c r="AU46" s="15"/>
      <c r="AV46" s="15"/>
      <c r="AW46" s="15"/>
      <c r="AX46" s="15"/>
      <c r="AY46" s="15"/>
      <c r="AZ46" s="15">
        <v>0</v>
      </c>
      <c r="BA46" s="15">
        <f t="shared" si="18"/>
        <v>1</v>
      </c>
      <c r="BB46" s="15">
        <v>14.001075999999999</v>
      </c>
      <c r="BC46" s="15">
        <f>0</f>
        <v>0</v>
      </c>
      <c r="BD46" s="15">
        <v>0</v>
      </c>
      <c r="BE46" s="15"/>
      <c r="BF46" s="15"/>
      <c r="BG46" s="15"/>
      <c r="BH46" s="15"/>
      <c r="BI46" s="15"/>
      <c r="BJ46" s="15"/>
      <c r="BK46" s="15">
        <v>0</v>
      </c>
      <c r="BL46" s="15">
        <f t="shared" si="16"/>
        <v>1</v>
      </c>
      <c r="BM46" s="15">
        <v>17.042031999999999</v>
      </c>
      <c r="BN46" s="15">
        <v>0</v>
      </c>
      <c r="BO46" s="15"/>
      <c r="BP46" s="15"/>
      <c r="BQ46" s="15"/>
      <c r="BR46" s="15"/>
      <c r="BS46" s="15">
        <v>0</v>
      </c>
      <c r="BT46" s="15">
        <f t="shared" si="17"/>
        <v>1</v>
      </c>
      <c r="BU46" s="15">
        <v>22.303426999999999</v>
      </c>
      <c r="BV46" s="15">
        <v>0</v>
      </c>
      <c r="BW46" s="15">
        <v>0</v>
      </c>
      <c r="BX46" s="15"/>
      <c r="BY46" s="15"/>
      <c r="BZ46" s="15"/>
      <c r="CA46" s="15"/>
      <c r="CB46" s="15"/>
      <c r="CC46" s="15"/>
      <c r="CD46" s="15">
        <v>0</v>
      </c>
      <c r="CE46" s="15">
        <f t="shared" si="11"/>
        <v>1</v>
      </c>
      <c r="CF46" s="15">
        <v>22.565673999999998</v>
      </c>
      <c r="CG46" s="15">
        <v>0.34</v>
      </c>
      <c r="CH46" s="15">
        <v>0</v>
      </c>
      <c r="CI46" s="15"/>
      <c r="CJ46" s="15"/>
      <c r="CK46" s="15">
        <f t="shared" si="12"/>
        <v>100.70306600000001</v>
      </c>
      <c r="CL46" s="15">
        <v>0</v>
      </c>
      <c r="CM46" s="15">
        <v>0</v>
      </c>
      <c r="CN46" s="15">
        <v>0</v>
      </c>
      <c r="CO46" s="15">
        <f>Table1[[#This Row],[TotalTrapsRisked]]/5</f>
        <v>0</v>
      </c>
      <c r="CP46" s="15">
        <v>0</v>
      </c>
      <c r="CQ46" s="15">
        <v>0</v>
      </c>
      <c r="CR46" s="15">
        <v>0.4375</v>
      </c>
      <c r="CS46" s="15">
        <v>0.71818181818181814</v>
      </c>
      <c r="CT46" s="15">
        <v>2</v>
      </c>
      <c r="CU46" s="15">
        <v>250</v>
      </c>
      <c r="CV46" s="15">
        <v>990</v>
      </c>
      <c r="CW46" s="15">
        <v>2</v>
      </c>
      <c r="CX46" s="15"/>
      <c r="CY46" s="15"/>
      <c r="CZ46" s="15"/>
      <c r="DA46" s="15"/>
      <c r="DB46" s="15"/>
      <c r="DC46" s="15"/>
      <c r="DD46" s="15">
        <v>0</v>
      </c>
      <c r="DE46" s="15">
        <v>0</v>
      </c>
      <c r="DF46" s="15">
        <v>4</v>
      </c>
      <c r="DG46" s="15">
        <v>4</v>
      </c>
      <c r="DH46" s="15">
        <v>5</v>
      </c>
      <c r="DI46" s="15">
        <v>3</v>
      </c>
      <c r="DJ46" s="15">
        <v>4</v>
      </c>
      <c r="DK46" s="15">
        <v>1</v>
      </c>
      <c r="DL46" s="15">
        <v>2</v>
      </c>
      <c r="DM46" s="15">
        <v>5</v>
      </c>
      <c r="DN46" s="15">
        <v>1</v>
      </c>
      <c r="DO46" s="15">
        <v>2</v>
      </c>
      <c r="DP46" s="15">
        <v>2</v>
      </c>
      <c r="DQ46" s="15">
        <v>4</v>
      </c>
      <c r="DR46" s="15">
        <v>4</v>
      </c>
      <c r="DS46" s="15">
        <v>4</v>
      </c>
      <c r="DT46" s="15">
        <v>5</v>
      </c>
      <c r="DU46" s="15">
        <v>4</v>
      </c>
      <c r="DV46" s="15">
        <v>4</v>
      </c>
      <c r="DW46" s="15">
        <v>4</v>
      </c>
      <c r="DX46" s="15">
        <v>1</v>
      </c>
      <c r="DY46" s="15">
        <v>3</v>
      </c>
      <c r="DZ46" s="15">
        <v>2</v>
      </c>
      <c r="EA46" s="15">
        <v>4</v>
      </c>
      <c r="EB46" s="15">
        <v>5</v>
      </c>
      <c r="EC46" s="15">
        <v>3</v>
      </c>
      <c r="ED46" s="15">
        <v>2</v>
      </c>
      <c r="EE46" s="15">
        <v>2</v>
      </c>
      <c r="EF46" s="15">
        <v>4</v>
      </c>
      <c r="EG46" s="15">
        <v>2</v>
      </c>
      <c r="EH46" s="15">
        <v>4</v>
      </c>
      <c r="EI46" s="15">
        <v>1</v>
      </c>
      <c r="EJ46" s="15">
        <v>3</v>
      </c>
      <c r="EK46" s="15">
        <v>4</v>
      </c>
      <c r="EL46" s="15">
        <v>4</v>
      </c>
      <c r="EM46" s="15">
        <v>4</v>
      </c>
      <c r="EN46" s="15">
        <v>4</v>
      </c>
      <c r="EO46" s="15">
        <v>1</v>
      </c>
      <c r="EP46" s="15">
        <v>2</v>
      </c>
      <c r="EQ46" s="15">
        <v>4</v>
      </c>
      <c r="ER46" s="15">
        <v>2</v>
      </c>
      <c r="ES46" s="15">
        <v>4</v>
      </c>
      <c r="ET46" s="15">
        <v>1</v>
      </c>
      <c r="EU46" s="15">
        <v>2</v>
      </c>
      <c r="EV46" s="15">
        <v>4</v>
      </c>
      <c r="EW46" s="15">
        <v>4</v>
      </c>
      <c r="EX46" s="15">
        <v>3</v>
      </c>
      <c r="EY46" s="15">
        <v>3</v>
      </c>
      <c r="EZ46" s="15">
        <v>4</v>
      </c>
      <c r="FA46" s="15">
        <v>2</v>
      </c>
      <c r="FB46" s="15">
        <v>1</v>
      </c>
      <c r="FC46" s="15">
        <v>5</v>
      </c>
      <c r="FD46" s="15">
        <v>4</v>
      </c>
      <c r="FE46" s="15">
        <v>4</v>
      </c>
      <c r="FF46" s="15">
        <v>2</v>
      </c>
      <c r="FG46" s="15">
        <v>4</v>
      </c>
      <c r="FH46" s="15">
        <v>2</v>
      </c>
      <c r="FI46" s="15">
        <v>3</v>
      </c>
      <c r="FJ46" s="15">
        <v>4</v>
      </c>
      <c r="FK46" s="15">
        <v>2</v>
      </c>
      <c r="FL46" s="15">
        <v>4</v>
      </c>
      <c r="FM46" s="15">
        <v>1</v>
      </c>
      <c r="FN46" s="15">
        <v>2</v>
      </c>
      <c r="FO46" s="15">
        <v>3</v>
      </c>
      <c r="FP46" s="15">
        <v>5</v>
      </c>
      <c r="FQ46" s="15">
        <v>3</v>
      </c>
      <c r="FR46" s="15">
        <v>4</v>
      </c>
      <c r="FS46" s="15">
        <v>2</v>
      </c>
      <c r="FT46" s="15">
        <v>4</v>
      </c>
      <c r="FU46" s="15">
        <v>1</v>
      </c>
      <c r="FV46" s="15">
        <v>4</v>
      </c>
      <c r="FW46" s="15">
        <v>1</v>
      </c>
      <c r="FX46" s="15">
        <v>2</v>
      </c>
      <c r="FY46" s="15">
        <v>2</v>
      </c>
      <c r="FZ46" s="15">
        <v>3</v>
      </c>
      <c r="GA46" s="15">
        <v>2</v>
      </c>
      <c r="GB46" s="15">
        <v>1</v>
      </c>
      <c r="GC46" s="15">
        <v>2</v>
      </c>
      <c r="GD46" s="15">
        <v>2</v>
      </c>
      <c r="GE46" s="15">
        <v>2</v>
      </c>
      <c r="GF46" s="15">
        <v>2</v>
      </c>
      <c r="GG46" s="15">
        <v>1</v>
      </c>
      <c r="GH46" s="15">
        <v>2</v>
      </c>
      <c r="GI46" s="15">
        <v>2</v>
      </c>
      <c r="GJ46" s="15">
        <v>2</v>
      </c>
      <c r="GK46" s="15">
        <v>1</v>
      </c>
      <c r="GL46" s="15">
        <v>4</v>
      </c>
      <c r="GM46" s="15">
        <v>2</v>
      </c>
      <c r="GN46" s="15">
        <v>2</v>
      </c>
      <c r="GO46" s="15">
        <v>5</v>
      </c>
      <c r="GP46" s="15">
        <v>3</v>
      </c>
      <c r="GQ46" s="15">
        <v>2</v>
      </c>
      <c r="GR46" s="15">
        <v>1</v>
      </c>
      <c r="GS46" s="15">
        <v>2</v>
      </c>
      <c r="GT46" s="15">
        <v>3</v>
      </c>
      <c r="GU46" s="15">
        <v>5</v>
      </c>
      <c r="GV46" s="15">
        <v>3</v>
      </c>
      <c r="GW46" s="15">
        <v>3</v>
      </c>
      <c r="GX46" s="15">
        <v>4</v>
      </c>
      <c r="GY46" s="15">
        <v>4</v>
      </c>
      <c r="GZ46" s="15">
        <v>1</v>
      </c>
      <c r="HA46" s="15">
        <v>2</v>
      </c>
      <c r="HB46" s="15">
        <v>2</v>
      </c>
      <c r="HC46" s="15">
        <v>5</v>
      </c>
      <c r="HD46" s="15">
        <v>3</v>
      </c>
      <c r="HE46" s="15">
        <v>1</v>
      </c>
      <c r="HF46" s="15">
        <v>2</v>
      </c>
      <c r="HG46" s="15">
        <v>2</v>
      </c>
      <c r="HH46" s="15">
        <v>2</v>
      </c>
      <c r="HI46" s="15">
        <v>4</v>
      </c>
      <c r="HJ46" s="15">
        <v>3</v>
      </c>
      <c r="HK46" s="15">
        <v>1</v>
      </c>
      <c r="HL46" s="15">
        <v>2</v>
      </c>
      <c r="HM46" s="15">
        <v>4</v>
      </c>
      <c r="HN46" s="15">
        <v>2</v>
      </c>
      <c r="HO46" s="15">
        <v>3</v>
      </c>
      <c r="HP46" s="15">
        <v>3</v>
      </c>
      <c r="HQ46" s="15">
        <v>4</v>
      </c>
      <c r="HR46" s="15">
        <v>4</v>
      </c>
      <c r="HS46" s="15">
        <v>4</v>
      </c>
      <c r="HT46" s="15">
        <v>4</v>
      </c>
      <c r="HU46" s="15">
        <v>2</v>
      </c>
      <c r="HV46" s="15">
        <v>1</v>
      </c>
      <c r="HW46" s="15">
        <v>3.75</v>
      </c>
      <c r="HX46" s="15">
        <v>3</v>
      </c>
      <c r="HY46" s="15">
        <v>4</v>
      </c>
      <c r="HZ46" s="15">
        <v>4</v>
      </c>
      <c r="IA46" s="15">
        <v>2.5</v>
      </c>
      <c r="IB46" s="15">
        <v>5</v>
      </c>
      <c r="IC46" s="15">
        <v>2.75</v>
      </c>
      <c r="ID46" s="15">
        <v>1.5</v>
      </c>
      <c r="IE46" s="15">
        <v>1.5</v>
      </c>
      <c r="IF46" s="15">
        <v>3.25</v>
      </c>
      <c r="IG46" s="15">
        <v>2.5</v>
      </c>
      <c r="IH46" s="15">
        <v>2.25</v>
      </c>
      <c r="II46" s="15">
        <v>3.5</v>
      </c>
      <c r="IJ46" s="15">
        <v>2</v>
      </c>
      <c r="IK46" s="15">
        <v>3</v>
      </c>
      <c r="IL46" s="15">
        <v>3</v>
      </c>
      <c r="IM46" s="15">
        <v>3</v>
      </c>
      <c r="IN46" s="15">
        <v>4.25</v>
      </c>
      <c r="IO46" s="15">
        <v>4.75</v>
      </c>
      <c r="IP46" s="15">
        <v>4.75</v>
      </c>
      <c r="IQ46" s="15">
        <v>4.25</v>
      </c>
      <c r="IR46" s="15">
        <v>3.75</v>
      </c>
      <c r="IS46" s="15">
        <v>4.25</v>
      </c>
      <c r="IT46" s="15">
        <v>2.25</v>
      </c>
      <c r="IU46" s="15">
        <v>3.25</v>
      </c>
      <c r="IV46" s="15">
        <v>4.5</v>
      </c>
      <c r="IW46" s="15">
        <v>4.25</v>
      </c>
      <c r="IX46" s="15">
        <v>5</v>
      </c>
      <c r="IY46" s="15">
        <v>2.5</v>
      </c>
      <c r="IZ46" s="15">
        <v>4</v>
      </c>
    </row>
    <row r="47" spans="1:260" s="12" customFormat="1" x14ac:dyDescent="0.3">
      <c r="A47" s="15">
        <v>49</v>
      </c>
      <c r="B47" s="15" t="s">
        <v>467</v>
      </c>
      <c r="C47" s="16">
        <v>56</v>
      </c>
      <c r="D47" s="15" t="s">
        <v>258</v>
      </c>
      <c r="E47" s="15" t="s">
        <v>289</v>
      </c>
      <c r="F47" s="15" t="s">
        <v>290</v>
      </c>
      <c r="G47" s="15" t="s">
        <v>302</v>
      </c>
      <c r="H47" s="15" t="s">
        <v>316</v>
      </c>
      <c r="I47" s="15" t="s">
        <v>270</v>
      </c>
      <c r="J47" s="15" t="s">
        <v>377</v>
      </c>
      <c r="K47" s="15" t="s">
        <v>285</v>
      </c>
      <c r="L47" s="15" t="s">
        <v>278</v>
      </c>
      <c r="M47" s="15" t="s">
        <v>378</v>
      </c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>
        <v>1</v>
      </c>
      <c r="AA47" s="15">
        <v>0</v>
      </c>
      <c r="AB47" s="15"/>
      <c r="AC47" s="15">
        <v>1.05</v>
      </c>
      <c r="AD47" s="15">
        <v>0</v>
      </c>
      <c r="AE47" s="15">
        <f t="shared" si="14"/>
        <v>1</v>
      </c>
      <c r="AF47" s="15">
        <v>7.8713989999999994</v>
      </c>
      <c r="AG47" s="15">
        <v>0</v>
      </c>
      <c r="AH47" s="15">
        <v>1</v>
      </c>
      <c r="AI47" s="15">
        <v>1</v>
      </c>
      <c r="AJ47" s="15">
        <f>5/5</f>
        <v>1</v>
      </c>
      <c r="AK47" s="15">
        <v>11</v>
      </c>
      <c r="AL47" s="15">
        <f>2/2</f>
        <v>1</v>
      </c>
      <c r="AM47" s="15"/>
      <c r="AN47" s="15">
        <f>1.1*10+1.05</f>
        <v>12.05</v>
      </c>
      <c r="AO47" s="15">
        <v>0</v>
      </c>
      <c r="AP47" s="15">
        <f>1/3</f>
        <v>0.33333333333333331</v>
      </c>
      <c r="AQ47" s="15">
        <v>34.679507999999998</v>
      </c>
      <c r="AR47" s="15">
        <v>0.58749999999999802</v>
      </c>
      <c r="AS47" s="15">
        <v>0</v>
      </c>
      <c r="AT47" s="15"/>
      <c r="AU47" s="15"/>
      <c r="AV47" s="15"/>
      <c r="AW47" s="15"/>
      <c r="AX47" s="15"/>
      <c r="AY47" s="15"/>
      <c r="AZ47" s="15">
        <v>0</v>
      </c>
      <c r="BA47" s="15">
        <f t="shared" si="18"/>
        <v>1</v>
      </c>
      <c r="BB47" s="15">
        <v>17.481480999999999</v>
      </c>
      <c r="BC47" s="15">
        <v>0</v>
      </c>
      <c r="BD47" s="15">
        <v>0</v>
      </c>
      <c r="BE47" s="15"/>
      <c r="BF47" s="15"/>
      <c r="BG47" s="15"/>
      <c r="BH47" s="15"/>
      <c r="BI47" s="15"/>
      <c r="BJ47" s="15"/>
      <c r="BK47" s="15">
        <v>0</v>
      </c>
      <c r="BL47" s="15">
        <f t="shared" si="16"/>
        <v>1</v>
      </c>
      <c r="BM47" s="15">
        <v>14.204044</v>
      </c>
      <c r="BN47" s="15">
        <v>0.26250000000000001</v>
      </c>
      <c r="BO47" s="15"/>
      <c r="BP47" s="15"/>
      <c r="BQ47" s="15"/>
      <c r="BR47" s="15"/>
      <c r="BS47" s="15">
        <v>0</v>
      </c>
      <c r="BT47" s="15">
        <f t="shared" si="17"/>
        <v>1</v>
      </c>
      <c r="BU47" s="15">
        <v>36.625749000000006</v>
      </c>
      <c r="BV47" s="15">
        <v>0</v>
      </c>
      <c r="BW47" s="15"/>
      <c r="BX47" s="15"/>
      <c r="BY47" s="15"/>
      <c r="BZ47" s="15">
        <v>2</v>
      </c>
      <c r="CA47" s="15">
        <v>0</v>
      </c>
      <c r="CB47" s="15"/>
      <c r="CC47" s="15">
        <f>1.05*2</f>
        <v>2.1</v>
      </c>
      <c r="CD47" s="15">
        <v>0</v>
      </c>
      <c r="CE47" s="15">
        <f t="shared" si="11"/>
        <v>1</v>
      </c>
      <c r="CF47" s="15">
        <v>20.449037000000001</v>
      </c>
      <c r="CG47" s="15">
        <v>0.63500000000000001</v>
      </c>
      <c r="CH47" s="15">
        <v>0</v>
      </c>
      <c r="CI47" s="15"/>
      <c r="CJ47" s="15"/>
      <c r="CK47" s="15">
        <f t="shared" si="12"/>
        <v>131.311218</v>
      </c>
      <c r="CL47" s="15">
        <f>3/8</f>
        <v>0.375</v>
      </c>
      <c r="CM47" s="15">
        <v>2</v>
      </c>
      <c r="CN47" s="15">
        <v>1</v>
      </c>
      <c r="CO47" s="15">
        <f>Table1[[#This Row],[TotalTrapsRisked]]/5</f>
        <v>0.2</v>
      </c>
      <c r="CP47" s="15">
        <v>0</v>
      </c>
      <c r="CQ47" s="15">
        <v>0</v>
      </c>
      <c r="CR47" s="15">
        <v>0.45833333333333331</v>
      </c>
      <c r="CS47" s="15">
        <v>0.44545454545454544</v>
      </c>
      <c r="CT47" s="15">
        <v>1</v>
      </c>
      <c r="CU47" s="15">
        <v>233</v>
      </c>
      <c r="CV47" s="15">
        <v>590</v>
      </c>
      <c r="CW47" s="15">
        <v>1</v>
      </c>
      <c r="CX47" s="15"/>
      <c r="CY47" s="15"/>
      <c r="CZ47" s="15"/>
      <c r="DA47" s="15"/>
      <c r="DB47" s="15"/>
      <c r="DC47" s="15"/>
      <c r="DD47" s="15">
        <v>0</v>
      </c>
      <c r="DE47" s="15">
        <v>0</v>
      </c>
      <c r="DF47" s="15">
        <v>4</v>
      </c>
      <c r="DG47" s="15">
        <v>3</v>
      </c>
      <c r="DH47" s="15">
        <v>5</v>
      </c>
      <c r="DI47" s="15">
        <v>4</v>
      </c>
      <c r="DJ47" s="15">
        <v>4</v>
      </c>
      <c r="DK47" s="15">
        <v>3</v>
      </c>
      <c r="DL47" s="15">
        <v>2</v>
      </c>
      <c r="DM47" s="15">
        <v>5</v>
      </c>
      <c r="DN47" s="15">
        <v>1</v>
      </c>
      <c r="DO47" s="15">
        <v>3</v>
      </c>
      <c r="DP47" s="15">
        <v>2</v>
      </c>
      <c r="DQ47" s="15">
        <v>4</v>
      </c>
      <c r="DR47" s="15">
        <v>3</v>
      </c>
      <c r="DS47" s="15">
        <v>4</v>
      </c>
      <c r="DT47" s="15">
        <v>3</v>
      </c>
      <c r="DU47" s="15">
        <v>3</v>
      </c>
      <c r="DV47" s="15">
        <v>2</v>
      </c>
      <c r="DW47" s="15">
        <v>3</v>
      </c>
      <c r="DX47" s="15">
        <v>2</v>
      </c>
      <c r="DY47" s="15">
        <v>3</v>
      </c>
      <c r="DZ47" s="15">
        <v>2</v>
      </c>
      <c r="EA47" s="15">
        <v>4</v>
      </c>
      <c r="EB47" s="15">
        <v>4</v>
      </c>
      <c r="EC47" s="15">
        <v>4</v>
      </c>
      <c r="ED47" s="15">
        <v>3</v>
      </c>
      <c r="EE47" s="15">
        <v>1</v>
      </c>
      <c r="EF47" s="15">
        <v>3</v>
      </c>
      <c r="EG47" s="15">
        <v>2</v>
      </c>
      <c r="EH47" s="15">
        <v>4</v>
      </c>
      <c r="EI47" s="15">
        <v>2</v>
      </c>
      <c r="EJ47" s="15">
        <v>4</v>
      </c>
      <c r="EK47" s="15">
        <v>4</v>
      </c>
      <c r="EL47" s="15">
        <v>4</v>
      </c>
      <c r="EM47" s="15">
        <v>4</v>
      </c>
      <c r="EN47" s="15">
        <v>4</v>
      </c>
      <c r="EO47" s="15">
        <v>3</v>
      </c>
      <c r="EP47" s="15">
        <v>2</v>
      </c>
      <c r="EQ47" s="15">
        <v>3</v>
      </c>
      <c r="ER47" s="15">
        <v>1</v>
      </c>
      <c r="ES47" s="15">
        <v>3</v>
      </c>
      <c r="ET47" s="15">
        <v>1</v>
      </c>
      <c r="EU47" s="15">
        <v>4</v>
      </c>
      <c r="EV47" s="15">
        <v>4</v>
      </c>
      <c r="EW47" s="15">
        <v>4</v>
      </c>
      <c r="EX47" s="15">
        <v>5</v>
      </c>
      <c r="EY47" s="15">
        <v>3</v>
      </c>
      <c r="EZ47" s="15">
        <v>2</v>
      </c>
      <c r="FA47" s="15">
        <v>2</v>
      </c>
      <c r="FB47" s="15">
        <v>2</v>
      </c>
      <c r="FC47" s="15">
        <v>3</v>
      </c>
      <c r="FD47" s="15">
        <v>2</v>
      </c>
      <c r="FE47" s="15">
        <v>2</v>
      </c>
      <c r="FF47" s="15">
        <v>2</v>
      </c>
      <c r="FG47" s="15">
        <v>4</v>
      </c>
      <c r="FH47" s="15">
        <v>3</v>
      </c>
      <c r="FI47" s="15">
        <v>3</v>
      </c>
      <c r="FJ47" s="15">
        <v>3</v>
      </c>
      <c r="FK47" s="15">
        <v>4</v>
      </c>
      <c r="FL47" s="15">
        <v>4</v>
      </c>
      <c r="FM47" s="15">
        <v>2</v>
      </c>
      <c r="FN47" s="15">
        <v>3</v>
      </c>
      <c r="FO47" s="15">
        <v>2</v>
      </c>
      <c r="FP47" s="15">
        <v>4</v>
      </c>
      <c r="FQ47" s="15">
        <v>4</v>
      </c>
      <c r="FR47" s="15">
        <v>4</v>
      </c>
      <c r="FS47" s="15">
        <v>2</v>
      </c>
      <c r="FT47" s="15">
        <v>3</v>
      </c>
      <c r="FU47" s="15">
        <v>3</v>
      </c>
      <c r="FV47" s="15">
        <v>4</v>
      </c>
      <c r="FW47" s="15">
        <v>1</v>
      </c>
      <c r="FX47" s="15">
        <v>3</v>
      </c>
      <c r="FY47" s="15">
        <v>2</v>
      </c>
      <c r="FZ47" s="15">
        <v>4</v>
      </c>
      <c r="GA47" s="15">
        <v>2</v>
      </c>
      <c r="GB47" s="15">
        <v>2</v>
      </c>
      <c r="GC47" s="15">
        <v>2</v>
      </c>
      <c r="GD47" s="15">
        <v>2</v>
      </c>
      <c r="GE47" s="15">
        <v>4</v>
      </c>
      <c r="GF47" s="15">
        <v>2</v>
      </c>
      <c r="GG47" s="15">
        <v>1</v>
      </c>
      <c r="GH47" s="15">
        <v>2</v>
      </c>
      <c r="GI47" s="15">
        <v>4</v>
      </c>
      <c r="GJ47" s="15">
        <v>2</v>
      </c>
      <c r="GK47" s="15">
        <v>1</v>
      </c>
      <c r="GL47" s="15">
        <v>4</v>
      </c>
      <c r="GM47" s="15">
        <v>3</v>
      </c>
      <c r="GN47" s="15">
        <v>2</v>
      </c>
      <c r="GO47" s="15">
        <v>4</v>
      </c>
      <c r="GP47" s="15">
        <v>2</v>
      </c>
      <c r="GQ47" s="15">
        <v>2</v>
      </c>
      <c r="GR47" s="15">
        <v>2</v>
      </c>
      <c r="GS47" s="15">
        <v>2</v>
      </c>
      <c r="GT47" s="15">
        <v>2</v>
      </c>
      <c r="GU47" s="15">
        <v>4</v>
      </c>
      <c r="GV47" s="15">
        <v>2</v>
      </c>
      <c r="GW47" s="15">
        <v>4</v>
      </c>
      <c r="GX47" s="15">
        <v>4</v>
      </c>
      <c r="GY47" s="15">
        <v>4</v>
      </c>
      <c r="GZ47" s="15">
        <v>1</v>
      </c>
      <c r="HA47" s="15">
        <v>1</v>
      </c>
      <c r="HB47" s="15">
        <v>2</v>
      </c>
      <c r="HC47" s="15">
        <v>4</v>
      </c>
      <c r="HD47" s="15">
        <v>3</v>
      </c>
      <c r="HE47" s="15">
        <v>2</v>
      </c>
      <c r="HF47" s="15">
        <v>2</v>
      </c>
      <c r="HG47" s="15">
        <v>2</v>
      </c>
      <c r="HH47" s="15">
        <v>2</v>
      </c>
      <c r="HI47" s="15">
        <v>3</v>
      </c>
      <c r="HJ47" s="15">
        <v>4</v>
      </c>
      <c r="HK47" s="15">
        <v>1</v>
      </c>
      <c r="HL47" s="15">
        <v>2</v>
      </c>
      <c r="HM47" s="15">
        <v>4</v>
      </c>
      <c r="HN47" s="15">
        <v>1</v>
      </c>
      <c r="HO47" s="15">
        <v>1</v>
      </c>
      <c r="HP47" s="15">
        <v>2</v>
      </c>
      <c r="HQ47" s="15">
        <v>4</v>
      </c>
      <c r="HR47" s="15">
        <v>4</v>
      </c>
      <c r="HS47" s="15">
        <v>4</v>
      </c>
      <c r="HT47" s="15">
        <v>3</v>
      </c>
      <c r="HU47" s="15">
        <v>2</v>
      </c>
      <c r="HV47" s="15">
        <v>2</v>
      </c>
      <c r="HW47" s="15">
        <v>4</v>
      </c>
      <c r="HX47" s="15">
        <v>3.25</v>
      </c>
      <c r="HY47" s="15">
        <v>4</v>
      </c>
      <c r="HZ47" s="15">
        <v>3.5</v>
      </c>
      <c r="IA47" s="15">
        <v>2.75</v>
      </c>
      <c r="IB47" s="15">
        <v>4</v>
      </c>
      <c r="IC47" s="15">
        <v>3.25</v>
      </c>
      <c r="ID47" s="15">
        <v>2.5</v>
      </c>
      <c r="IE47" s="15">
        <v>1.75</v>
      </c>
      <c r="IF47" s="15">
        <v>3</v>
      </c>
      <c r="IG47" s="15">
        <v>2.5</v>
      </c>
      <c r="IH47" s="15">
        <v>2</v>
      </c>
      <c r="II47" s="15">
        <v>3.75</v>
      </c>
      <c r="IJ47" s="15">
        <v>2.25</v>
      </c>
      <c r="IK47" s="15">
        <v>3.75</v>
      </c>
      <c r="IL47" s="15">
        <v>2.75</v>
      </c>
      <c r="IM47" s="15">
        <v>2.25</v>
      </c>
      <c r="IN47" s="15">
        <v>3.5</v>
      </c>
      <c r="IO47" s="15">
        <v>4.25</v>
      </c>
      <c r="IP47" s="15">
        <v>4</v>
      </c>
      <c r="IQ47" s="15">
        <v>3.75</v>
      </c>
      <c r="IR47" s="15">
        <v>3.25</v>
      </c>
      <c r="IS47" s="15">
        <v>4.5</v>
      </c>
      <c r="IT47" s="15">
        <v>3.25</v>
      </c>
      <c r="IU47" s="15">
        <v>4</v>
      </c>
      <c r="IV47" s="15">
        <v>5</v>
      </c>
      <c r="IW47" s="15">
        <v>4</v>
      </c>
      <c r="IX47" s="15">
        <v>4.5</v>
      </c>
      <c r="IY47" s="15">
        <v>2.5</v>
      </c>
      <c r="IZ47" s="15">
        <v>4</v>
      </c>
    </row>
    <row r="48" spans="1:260" s="12" customFormat="1" x14ac:dyDescent="0.3">
      <c r="A48" s="15">
        <v>50</v>
      </c>
      <c r="B48" s="15" t="s">
        <v>468</v>
      </c>
      <c r="C48" s="16">
        <v>53</v>
      </c>
      <c r="D48" s="15" t="s">
        <v>288</v>
      </c>
      <c r="E48" s="15" t="s">
        <v>289</v>
      </c>
      <c r="F48" s="15" t="s">
        <v>290</v>
      </c>
      <c r="G48" s="15" t="s">
        <v>302</v>
      </c>
      <c r="H48" s="15" t="s">
        <v>316</v>
      </c>
      <c r="I48" s="15" t="s">
        <v>270</v>
      </c>
      <c r="J48" s="15" t="s">
        <v>303</v>
      </c>
      <c r="K48" s="15" t="s">
        <v>277</v>
      </c>
      <c r="L48" s="15" t="s">
        <v>281</v>
      </c>
      <c r="M48" s="15" t="s">
        <v>378</v>
      </c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>
        <v>0</v>
      </c>
      <c r="AE48" s="15">
        <f t="shared" si="14"/>
        <v>1</v>
      </c>
      <c r="AF48" s="15">
        <v>5.8159030000000005</v>
      </c>
      <c r="AG48" s="15">
        <v>0</v>
      </c>
      <c r="AH48" s="15">
        <v>0</v>
      </c>
      <c r="AI48" s="15"/>
      <c r="AJ48" s="15"/>
      <c r="AK48" s="15"/>
      <c r="AL48" s="15"/>
      <c r="AM48" s="15"/>
      <c r="AN48" s="15"/>
      <c r="AO48" s="15">
        <v>0</v>
      </c>
      <c r="AP48" s="15">
        <f>2/3</f>
        <v>0.66666666666666663</v>
      </c>
      <c r="AQ48" s="15">
        <v>12.542373</v>
      </c>
      <c r="AR48" s="15">
        <v>0.2175</v>
      </c>
      <c r="AS48" s="15">
        <v>0</v>
      </c>
      <c r="AT48" s="15"/>
      <c r="AU48" s="15"/>
      <c r="AV48" s="15"/>
      <c r="AW48" s="15"/>
      <c r="AX48" s="15"/>
      <c r="AY48" s="15"/>
      <c r="AZ48" s="15">
        <v>0</v>
      </c>
      <c r="BA48" s="15">
        <f t="shared" si="18"/>
        <v>1</v>
      </c>
      <c r="BB48" s="15">
        <v>6.1430299999999995</v>
      </c>
      <c r="BC48" s="15">
        <f>0</f>
        <v>0</v>
      </c>
      <c r="BD48" s="15">
        <f>0</f>
        <v>0</v>
      </c>
      <c r="BE48" s="15"/>
      <c r="BF48" s="15"/>
      <c r="BG48" s="15"/>
      <c r="BH48" s="15"/>
      <c r="BI48" s="15"/>
      <c r="BJ48" s="15"/>
      <c r="BK48" s="15">
        <v>0</v>
      </c>
      <c r="BL48" s="15">
        <f t="shared" si="16"/>
        <v>1</v>
      </c>
      <c r="BM48" s="15">
        <v>9.3909710000000004</v>
      </c>
      <c r="BN48" s="15">
        <f>0</f>
        <v>0</v>
      </c>
      <c r="BO48" s="15"/>
      <c r="BP48" s="15"/>
      <c r="BQ48" s="15"/>
      <c r="BR48" s="15"/>
      <c r="BS48" s="15">
        <v>0</v>
      </c>
      <c r="BT48" s="15">
        <f t="shared" si="17"/>
        <v>1</v>
      </c>
      <c r="BU48" s="15">
        <v>17.446550999999999</v>
      </c>
      <c r="BV48" s="15">
        <f>0</f>
        <v>0</v>
      </c>
      <c r="BW48" s="15">
        <v>1</v>
      </c>
      <c r="BX48" s="15">
        <v>0</v>
      </c>
      <c r="BY48" s="15">
        <f>6/6</f>
        <v>1</v>
      </c>
      <c r="BZ48" s="15"/>
      <c r="CA48" s="15"/>
      <c r="CB48" s="15"/>
      <c r="CC48" s="15"/>
      <c r="CD48" s="15">
        <v>0</v>
      </c>
      <c r="CE48" s="15">
        <f t="shared" si="11"/>
        <v>1</v>
      </c>
      <c r="CF48" s="15">
        <v>17.536918</v>
      </c>
      <c r="CG48" s="15">
        <v>2.2499999999999999E-2</v>
      </c>
      <c r="CH48" s="15">
        <v>0</v>
      </c>
      <c r="CI48" s="15"/>
      <c r="CJ48" s="15"/>
      <c r="CK48" s="15">
        <f t="shared" si="12"/>
        <v>68.875745999999992</v>
      </c>
      <c r="CL48" s="15">
        <v>0</v>
      </c>
      <c r="CM48" s="15">
        <v>0</v>
      </c>
      <c r="CN48" s="15">
        <v>1</v>
      </c>
      <c r="CO48" s="15">
        <f>Table1[[#This Row],[TotalTrapsRisked]]/5</f>
        <v>0.2</v>
      </c>
      <c r="CP48" s="15">
        <v>0</v>
      </c>
      <c r="CQ48" s="15">
        <v>0</v>
      </c>
      <c r="CR48" s="15">
        <v>0</v>
      </c>
      <c r="CS48" s="15">
        <v>0.22727272727272727</v>
      </c>
      <c r="CT48" s="15">
        <v>0</v>
      </c>
      <c r="CU48" s="15">
        <v>149</v>
      </c>
      <c r="CV48" s="15">
        <v>250</v>
      </c>
      <c r="CW48" s="15">
        <v>0</v>
      </c>
      <c r="CX48" s="15"/>
      <c r="CY48" s="15"/>
      <c r="CZ48" s="15"/>
      <c r="DA48" s="15"/>
      <c r="DB48" s="15"/>
      <c r="DC48" s="15"/>
      <c r="DD48" s="15">
        <v>0</v>
      </c>
      <c r="DE48" s="15">
        <v>0</v>
      </c>
      <c r="DF48" s="15">
        <v>5</v>
      </c>
      <c r="DG48" s="15">
        <v>2</v>
      </c>
      <c r="DH48" s="15">
        <v>4</v>
      </c>
      <c r="DI48" s="15">
        <v>2</v>
      </c>
      <c r="DJ48" s="15">
        <v>4</v>
      </c>
      <c r="DK48" s="15">
        <v>1</v>
      </c>
      <c r="DL48" s="15">
        <v>2</v>
      </c>
      <c r="DM48" s="15">
        <v>5</v>
      </c>
      <c r="DN48" s="15">
        <v>1</v>
      </c>
      <c r="DO48" s="15">
        <v>4</v>
      </c>
      <c r="DP48" s="15">
        <v>3</v>
      </c>
      <c r="DQ48" s="15">
        <v>4</v>
      </c>
      <c r="DR48" s="15">
        <v>4</v>
      </c>
      <c r="DS48" s="15">
        <v>5</v>
      </c>
      <c r="DT48" s="15">
        <v>5</v>
      </c>
      <c r="DU48" s="15">
        <v>3</v>
      </c>
      <c r="DV48" s="15">
        <v>2</v>
      </c>
      <c r="DW48" s="15">
        <v>4</v>
      </c>
      <c r="DX48" s="15">
        <v>1</v>
      </c>
      <c r="DY48" s="15">
        <v>4</v>
      </c>
      <c r="DZ48" s="15">
        <v>3</v>
      </c>
      <c r="EA48" s="15">
        <v>4</v>
      </c>
      <c r="EB48" s="15">
        <v>5</v>
      </c>
      <c r="EC48" s="15">
        <v>2</v>
      </c>
      <c r="ED48" s="15">
        <v>4</v>
      </c>
      <c r="EE48" s="15">
        <v>2</v>
      </c>
      <c r="EF48" s="15">
        <v>2</v>
      </c>
      <c r="EG48" s="15">
        <v>3</v>
      </c>
      <c r="EH48" s="15">
        <v>4</v>
      </c>
      <c r="EI48" s="15">
        <v>2</v>
      </c>
      <c r="EJ48" s="15">
        <v>4</v>
      </c>
      <c r="EK48" s="15">
        <v>2</v>
      </c>
      <c r="EL48" s="15">
        <v>3</v>
      </c>
      <c r="EM48" s="15">
        <v>3</v>
      </c>
      <c r="EN48" s="15">
        <v>3</v>
      </c>
      <c r="EO48" s="15">
        <v>2</v>
      </c>
      <c r="EP48" s="15">
        <v>2</v>
      </c>
      <c r="EQ48" s="15">
        <v>4</v>
      </c>
      <c r="ER48" s="15">
        <v>1</v>
      </c>
      <c r="ES48" s="15">
        <v>2</v>
      </c>
      <c r="ET48" s="15">
        <v>2</v>
      </c>
      <c r="EU48" s="15">
        <v>2</v>
      </c>
      <c r="EV48" s="15">
        <v>4</v>
      </c>
      <c r="EW48" s="15">
        <v>5</v>
      </c>
      <c r="EX48" s="15">
        <v>4</v>
      </c>
      <c r="EY48" s="15">
        <v>4</v>
      </c>
      <c r="EZ48" s="15">
        <v>2</v>
      </c>
      <c r="FA48" s="15">
        <v>2</v>
      </c>
      <c r="FB48" s="15">
        <v>2</v>
      </c>
      <c r="FC48" s="15">
        <v>3</v>
      </c>
      <c r="FD48" s="15">
        <v>4</v>
      </c>
      <c r="FE48" s="15">
        <v>3</v>
      </c>
      <c r="FF48" s="15">
        <v>2</v>
      </c>
      <c r="FG48" s="15">
        <v>3</v>
      </c>
      <c r="FH48" s="15">
        <v>2</v>
      </c>
      <c r="FI48" s="15">
        <v>2</v>
      </c>
      <c r="FJ48" s="15">
        <v>4</v>
      </c>
      <c r="FK48" s="15">
        <v>4</v>
      </c>
      <c r="FL48" s="15">
        <v>4</v>
      </c>
      <c r="FM48" s="15">
        <v>2</v>
      </c>
      <c r="FN48" s="15">
        <v>2</v>
      </c>
      <c r="FO48" s="15">
        <v>2</v>
      </c>
      <c r="FP48" s="15">
        <v>3</v>
      </c>
      <c r="FQ48" s="15">
        <v>3</v>
      </c>
      <c r="FR48" s="15">
        <v>4</v>
      </c>
      <c r="FS48" s="15">
        <v>2</v>
      </c>
      <c r="FT48" s="15">
        <v>2</v>
      </c>
      <c r="FU48" s="15">
        <v>4</v>
      </c>
      <c r="FV48" s="15">
        <v>4</v>
      </c>
      <c r="FW48" s="15">
        <v>1</v>
      </c>
      <c r="FX48" s="15">
        <v>2</v>
      </c>
      <c r="FY48" s="15">
        <v>2</v>
      </c>
      <c r="FZ48" s="15">
        <v>4</v>
      </c>
      <c r="GA48" s="15">
        <v>2</v>
      </c>
      <c r="GB48" s="15">
        <v>1</v>
      </c>
      <c r="GC48" s="15">
        <v>2</v>
      </c>
      <c r="GD48" s="15">
        <v>3</v>
      </c>
      <c r="GE48" s="15">
        <v>3</v>
      </c>
      <c r="GF48" s="15">
        <v>4</v>
      </c>
      <c r="GG48" s="15">
        <v>1</v>
      </c>
      <c r="GH48" s="15">
        <v>2</v>
      </c>
      <c r="GI48" s="15">
        <v>3</v>
      </c>
      <c r="GJ48" s="15">
        <v>2</v>
      </c>
      <c r="GK48" s="15">
        <v>2</v>
      </c>
      <c r="GL48" s="15">
        <v>2</v>
      </c>
      <c r="GM48" s="15">
        <v>4</v>
      </c>
      <c r="GN48" s="15">
        <v>3</v>
      </c>
      <c r="GO48" s="15">
        <v>4</v>
      </c>
      <c r="GP48" s="15">
        <v>3</v>
      </c>
      <c r="GQ48" s="15">
        <v>1</v>
      </c>
      <c r="GR48" s="15">
        <v>2</v>
      </c>
      <c r="GS48" s="15">
        <v>2</v>
      </c>
      <c r="GT48" s="15">
        <v>4</v>
      </c>
      <c r="GU48" s="15">
        <v>3</v>
      </c>
      <c r="GV48" s="15">
        <v>4</v>
      </c>
      <c r="GW48" s="15">
        <v>3</v>
      </c>
      <c r="GX48" s="15">
        <v>4</v>
      </c>
      <c r="GY48" s="15">
        <v>4</v>
      </c>
      <c r="GZ48" s="15">
        <v>2</v>
      </c>
      <c r="HA48" s="15">
        <v>2</v>
      </c>
      <c r="HB48" s="15">
        <v>2</v>
      </c>
      <c r="HC48" s="15">
        <v>3</v>
      </c>
      <c r="HD48" s="15">
        <v>2</v>
      </c>
      <c r="HE48" s="15">
        <v>2</v>
      </c>
      <c r="HF48" s="15">
        <v>2</v>
      </c>
      <c r="HG48" s="15">
        <v>2</v>
      </c>
      <c r="HH48" s="15">
        <v>2</v>
      </c>
      <c r="HI48" s="15">
        <v>4</v>
      </c>
      <c r="HJ48" s="15">
        <v>3</v>
      </c>
      <c r="HK48" s="15">
        <v>2</v>
      </c>
      <c r="HL48" s="15">
        <v>2</v>
      </c>
      <c r="HM48" s="15">
        <v>4</v>
      </c>
      <c r="HN48" s="15">
        <v>1</v>
      </c>
      <c r="HO48" s="15">
        <v>2</v>
      </c>
      <c r="HP48" s="15">
        <v>1</v>
      </c>
      <c r="HQ48" s="15">
        <v>2</v>
      </c>
      <c r="HR48" s="15">
        <v>4</v>
      </c>
      <c r="HS48" s="15">
        <v>4</v>
      </c>
      <c r="HT48" s="15">
        <v>4</v>
      </c>
      <c r="HU48" s="15">
        <v>2</v>
      </c>
      <c r="HV48" s="15">
        <v>2</v>
      </c>
      <c r="HW48" s="15">
        <v>3.5</v>
      </c>
      <c r="HX48" s="15">
        <v>4</v>
      </c>
      <c r="HY48" s="15">
        <v>4.25</v>
      </c>
      <c r="HZ48" s="15">
        <v>3.75</v>
      </c>
      <c r="IA48" s="15">
        <v>3</v>
      </c>
      <c r="IB48" s="15">
        <v>4</v>
      </c>
      <c r="IC48" s="15">
        <v>3.25</v>
      </c>
      <c r="ID48" s="15">
        <v>1.75</v>
      </c>
      <c r="IE48" s="15">
        <v>2.5</v>
      </c>
      <c r="IF48" s="15">
        <v>3.5</v>
      </c>
      <c r="IG48" s="15">
        <v>2.5</v>
      </c>
      <c r="IH48" s="15">
        <v>2.25</v>
      </c>
      <c r="II48" s="15">
        <v>2.5</v>
      </c>
      <c r="IJ48" s="15">
        <v>2.5</v>
      </c>
      <c r="IK48" s="15">
        <v>3.5</v>
      </c>
      <c r="IL48" s="15">
        <v>2.25</v>
      </c>
      <c r="IM48" s="15">
        <v>2.5</v>
      </c>
      <c r="IN48" s="15">
        <v>3.5</v>
      </c>
      <c r="IO48" s="15">
        <v>3.25</v>
      </c>
      <c r="IP48" s="15">
        <v>3.75</v>
      </c>
      <c r="IQ48" s="15">
        <v>4</v>
      </c>
      <c r="IR48" s="15">
        <v>3.25</v>
      </c>
      <c r="IS48" s="15">
        <v>4.25</v>
      </c>
      <c r="IT48" s="15">
        <v>3</v>
      </c>
      <c r="IU48" s="15">
        <v>2.5</v>
      </c>
      <c r="IV48" s="15">
        <v>4.75</v>
      </c>
      <c r="IW48" s="15">
        <v>4.75</v>
      </c>
      <c r="IX48" s="15">
        <v>4.5</v>
      </c>
      <c r="IY48" s="15">
        <v>4</v>
      </c>
      <c r="IZ48" s="15">
        <v>4.25</v>
      </c>
    </row>
    <row r="49" spans="1:260" s="12" customFormat="1" x14ac:dyDescent="0.3">
      <c r="A49" s="15">
        <v>51</v>
      </c>
      <c r="B49" s="15" t="s">
        <v>469</v>
      </c>
      <c r="C49" s="16">
        <v>27</v>
      </c>
      <c r="D49" s="15" t="s">
        <v>288</v>
      </c>
      <c r="E49" s="15" t="s">
        <v>259</v>
      </c>
      <c r="F49" s="15" t="s">
        <v>260</v>
      </c>
      <c r="G49" s="15" t="s">
        <v>283</v>
      </c>
      <c r="H49" s="15" t="s">
        <v>316</v>
      </c>
      <c r="I49" s="15" t="s">
        <v>280</v>
      </c>
      <c r="J49" s="15" t="s">
        <v>379</v>
      </c>
      <c r="K49" s="15" t="s">
        <v>285</v>
      </c>
      <c r="L49" s="15" t="s">
        <v>281</v>
      </c>
      <c r="M49" s="15" t="s">
        <v>380</v>
      </c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>
        <v>1</v>
      </c>
      <c r="AA49" s="15">
        <f>3/5</f>
        <v>0.6</v>
      </c>
      <c r="AB49" s="15"/>
      <c r="AC49" s="15">
        <v>1.05</v>
      </c>
      <c r="AD49" s="15">
        <v>0</v>
      </c>
      <c r="AE49" s="15">
        <f t="shared" si="14"/>
        <v>1</v>
      </c>
      <c r="AF49" s="15">
        <v>48.888459499999996</v>
      </c>
      <c r="AG49" s="15">
        <v>0</v>
      </c>
      <c r="AH49" s="15">
        <v>1</v>
      </c>
      <c r="AI49" s="15">
        <v>1</v>
      </c>
      <c r="AJ49" s="15">
        <f>5/5</f>
        <v>1</v>
      </c>
      <c r="AK49" s="15">
        <v>2</v>
      </c>
      <c r="AL49" s="15">
        <f>1/8</f>
        <v>0.125</v>
      </c>
      <c r="AM49" s="15"/>
      <c r="AN49" s="15">
        <f>1.1*2</f>
        <v>2.2000000000000002</v>
      </c>
      <c r="AO49" s="15">
        <f>0</f>
        <v>0</v>
      </c>
      <c r="AP49" s="15">
        <f>3/3</f>
        <v>1</v>
      </c>
      <c r="AQ49" s="15">
        <v>13.456787</v>
      </c>
      <c r="AR49" s="15">
        <v>0.33250000000000002</v>
      </c>
      <c r="AS49" s="15">
        <v>0</v>
      </c>
      <c r="AT49" s="15"/>
      <c r="AU49" s="15"/>
      <c r="AV49" s="15"/>
      <c r="AW49" s="15"/>
      <c r="AX49" s="15"/>
      <c r="AY49" s="15"/>
      <c r="AZ49" s="15">
        <v>0</v>
      </c>
      <c r="BA49" s="15">
        <f t="shared" si="18"/>
        <v>1</v>
      </c>
      <c r="BB49" s="15">
        <v>8.1483689999999989</v>
      </c>
      <c r="BC49" s="15">
        <v>0</v>
      </c>
      <c r="BD49" s="15">
        <v>0</v>
      </c>
      <c r="BE49" s="15"/>
      <c r="BF49" s="15"/>
      <c r="BG49" s="15">
        <v>0</v>
      </c>
      <c r="BH49" s="15">
        <v>0</v>
      </c>
      <c r="BI49" s="15"/>
      <c r="BJ49" s="15">
        <f>1.05</f>
        <v>1.05</v>
      </c>
      <c r="BK49" s="15">
        <v>0</v>
      </c>
      <c r="BL49" s="15">
        <f t="shared" si="16"/>
        <v>1</v>
      </c>
      <c r="BM49" s="15">
        <v>9.417999</v>
      </c>
      <c r="BN49" s="15">
        <v>0</v>
      </c>
      <c r="BO49" s="15"/>
      <c r="BP49" s="15"/>
      <c r="BQ49" s="15"/>
      <c r="BR49" s="15"/>
      <c r="BS49" s="15">
        <v>0</v>
      </c>
      <c r="BT49" s="15">
        <f t="shared" si="17"/>
        <v>1</v>
      </c>
      <c r="BU49" s="15">
        <v>8.6175160000000002</v>
      </c>
      <c r="BV49" s="15">
        <v>0</v>
      </c>
      <c r="BW49" s="15">
        <v>0</v>
      </c>
      <c r="BX49" s="15"/>
      <c r="BY49" s="15"/>
      <c r="BZ49" s="15">
        <v>2</v>
      </c>
      <c r="CA49" s="15">
        <f>0</f>
        <v>0</v>
      </c>
      <c r="CB49" s="15"/>
      <c r="CC49" s="15">
        <f>1.05*2</f>
        <v>2.1</v>
      </c>
      <c r="CD49" s="15">
        <v>0</v>
      </c>
      <c r="CE49" s="15">
        <f t="shared" si="11"/>
        <v>1</v>
      </c>
      <c r="CF49" s="15">
        <v>14.401541499999999</v>
      </c>
      <c r="CG49" s="15">
        <f>0.1625+0.01</f>
        <v>0.17250000000000001</v>
      </c>
      <c r="CH49" s="15">
        <v>1</v>
      </c>
      <c r="CI49" s="15">
        <v>1</v>
      </c>
      <c r="CJ49" s="15">
        <f>5/6</f>
        <v>0.83333333333333337</v>
      </c>
      <c r="CK49" s="15">
        <f t="shared" si="12"/>
        <v>102.93067199999997</v>
      </c>
      <c r="CL49" s="15">
        <f>4/8</f>
        <v>0.5</v>
      </c>
      <c r="CM49" s="15">
        <v>2</v>
      </c>
      <c r="CN49" s="15">
        <v>2</v>
      </c>
      <c r="CO49" s="15">
        <f>Table1[[#This Row],[TotalTrapsRisked]]/5</f>
        <v>0.4</v>
      </c>
      <c r="CP49" s="15">
        <v>0</v>
      </c>
      <c r="CQ49" s="15">
        <v>0</v>
      </c>
      <c r="CR49" s="15">
        <v>0.22916666666666666</v>
      </c>
      <c r="CS49" s="15">
        <v>0.41818181818181815</v>
      </c>
      <c r="CT49" s="15">
        <v>0</v>
      </c>
      <c r="CU49" s="15">
        <v>198</v>
      </c>
      <c r="CV49" s="15">
        <v>460</v>
      </c>
      <c r="CW49" s="15">
        <v>0</v>
      </c>
      <c r="CX49" s="15"/>
      <c r="CY49" s="15"/>
      <c r="CZ49" s="15"/>
      <c r="DA49" s="15"/>
      <c r="DB49" s="15"/>
      <c r="DC49" s="15"/>
      <c r="DD49" s="15">
        <v>0</v>
      </c>
      <c r="DE49" s="15">
        <v>0</v>
      </c>
      <c r="DF49" s="15">
        <v>4</v>
      </c>
      <c r="DG49" s="15">
        <v>3</v>
      </c>
      <c r="DH49" s="15">
        <v>3</v>
      </c>
      <c r="DI49" s="15">
        <v>2</v>
      </c>
      <c r="DJ49" s="15">
        <v>4</v>
      </c>
      <c r="DK49" s="15">
        <v>4</v>
      </c>
      <c r="DL49" s="15">
        <v>2</v>
      </c>
      <c r="DM49" s="15">
        <v>4</v>
      </c>
      <c r="DN49" s="15">
        <v>1</v>
      </c>
      <c r="DO49" s="15">
        <v>4</v>
      </c>
      <c r="DP49" s="15">
        <v>2</v>
      </c>
      <c r="DQ49" s="15">
        <v>4</v>
      </c>
      <c r="DR49" s="15">
        <v>4</v>
      </c>
      <c r="DS49" s="15">
        <v>3</v>
      </c>
      <c r="DT49" s="15">
        <v>5</v>
      </c>
      <c r="DU49" s="15">
        <v>2</v>
      </c>
      <c r="DV49" s="15">
        <v>4</v>
      </c>
      <c r="DW49" s="15">
        <v>4</v>
      </c>
      <c r="DX49" s="15">
        <v>1</v>
      </c>
      <c r="DY49" s="15">
        <v>3</v>
      </c>
      <c r="DZ49" s="15">
        <v>2</v>
      </c>
      <c r="EA49" s="15">
        <v>3</v>
      </c>
      <c r="EB49" s="15">
        <v>3</v>
      </c>
      <c r="EC49" s="15">
        <v>1</v>
      </c>
      <c r="ED49" s="15">
        <v>3</v>
      </c>
      <c r="EE49" s="15">
        <v>2</v>
      </c>
      <c r="EF49" s="15">
        <v>3</v>
      </c>
      <c r="EG49" s="15">
        <v>2</v>
      </c>
      <c r="EH49" s="15">
        <v>2</v>
      </c>
      <c r="EI49" s="15">
        <v>1</v>
      </c>
      <c r="EJ49" s="15">
        <v>3</v>
      </c>
      <c r="EK49" s="15">
        <v>3</v>
      </c>
      <c r="EL49" s="15">
        <v>4</v>
      </c>
      <c r="EM49" s="15">
        <v>3</v>
      </c>
      <c r="EN49" s="15">
        <v>3</v>
      </c>
      <c r="EO49" s="15">
        <v>4</v>
      </c>
      <c r="EP49" s="15">
        <v>3</v>
      </c>
      <c r="EQ49" s="15">
        <v>4</v>
      </c>
      <c r="ER49" s="15">
        <v>1</v>
      </c>
      <c r="ES49" s="15">
        <v>2</v>
      </c>
      <c r="ET49" s="15">
        <v>1</v>
      </c>
      <c r="EU49" s="15">
        <v>3</v>
      </c>
      <c r="EV49" s="15">
        <v>4</v>
      </c>
      <c r="EW49" s="15">
        <v>4</v>
      </c>
      <c r="EX49" s="15">
        <v>4</v>
      </c>
      <c r="EY49" s="15">
        <v>1</v>
      </c>
      <c r="EZ49" s="15">
        <v>4</v>
      </c>
      <c r="FA49" s="15">
        <v>2</v>
      </c>
      <c r="FB49" s="15">
        <v>2</v>
      </c>
      <c r="FC49" s="15">
        <v>3</v>
      </c>
      <c r="FD49" s="15">
        <v>4</v>
      </c>
      <c r="FE49" s="15">
        <v>4</v>
      </c>
      <c r="FF49" s="15">
        <v>4</v>
      </c>
      <c r="FG49" s="15">
        <v>4</v>
      </c>
      <c r="FH49" s="15">
        <v>4</v>
      </c>
      <c r="FI49" s="15">
        <v>2</v>
      </c>
      <c r="FJ49" s="15">
        <v>3</v>
      </c>
      <c r="FK49" s="15">
        <v>4</v>
      </c>
      <c r="FL49" s="15">
        <v>4</v>
      </c>
      <c r="FM49" s="15">
        <v>2</v>
      </c>
      <c r="FN49" s="15">
        <v>2</v>
      </c>
      <c r="FO49" s="15">
        <v>2</v>
      </c>
      <c r="FP49" s="15">
        <v>2</v>
      </c>
      <c r="FQ49" s="15">
        <v>3</v>
      </c>
      <c r="FR49" s="15">
        <v>4</v>
      </c>
      <c r="FS49" s="15">
        <v>4</v>
      </c>
      <c r="FT49" s="15">
        <v>3</v>
      </c>
      <c r="FU49" s="15">
        <v>4</v>
      </c>
      <c r="FV49" s="15">
        <v>4</v>
      </c>
      <c r="FW49" s="15">
        <v>1</v>
      </c>
      <c r="FX49" s="15">
        <v>2</v>
      </c>
      <c r="FY49" s="15">
        <v>2</v>
      </c>
      <c r="FZ49" s="15">
        <v>4</v>
      </c>
      <c r="GA49" s="15">
        <v>3</v>
      </c>
      <c r="GB49" s="15">
        <v>2</v>
      </c>
      <c r="GC49" s="15">
        <v>2</v>
      </c>
      <c r="GD49" s="15">
        <v>2</v>
      </c>
      <c r="GE49" s="15">
        <v>4</v>
      </c>
      <c r="GF49" s="15">
        <v>3</v>
      </c>
      <c r="GG49" s="15">
        <v>2</v>
      </c>
      <c r="GH49" s="15">
        <v>3</v>
      </c>
      <c r="GI49" s="15">
        <v>5</v>
      </c>
      <c r="GJ49" s="15">
        <v>3</v>
      </c>
      <c r="GK49" s="15">
        <v>2</v>
      </c>
      <c r="GL49" s="15">
        <v>4</v>
      </c>
      <c r="GM49" s="15">
        <v>3</v>
      </c>
      <c r="GN49" s="15">
        <v>2</v>
      </c>
      <c r="GO49" s="15">
        <v>4</v>
      </c>
      <c r="GP49" s="15">
        <v>3</v>
      </c>
      <c r="GQ49" s="15">
        <v>3</v>
      </c>
      <c r="GR49" s="15">
        <v>3</v>
      </c>
      <c r="GS49" s="15">
        <v>4</v>
      </c>
      <c r="GT49" s="15">
        <v>3</v>
      </c>
      <c r="GU49" s="15">
        <v>2</v>
      </c>
      <c r="GV49" s="15">
        <v>4</v>
      </c>
      <c r="GW49" s="15">
        <v>3</v>
      </c>
      <c r="GX49" s="15">
        <v>2</v>
      </c>
      <c r="GY49" s="15">
        <v>2</v>
      </c>
      <c r="GZ49" s="15">
        <v>3</v>
      </c>
      <c r="HA49" s="15">
        <v>1</v>
      </c>
      <c r="HB49" s="15">
        <v>1</v>
      </c>
      <c r="HC49" s="15">
        <v>4</v>
      </c>
      <c r="HD49" s="15">
        <v>2</v>
      </c>
      <c r="HE49" s="15">
        <v>2</v>
      </c>
      <c r="HF49" s="15">
        <v>3</v>
      </c>
      <c r="HG49" s="15">
        <v>1</v>
      </c>
      <c r="HH49" s="15">
        <v>2</v>
      </c>
      <c r="HI49" s="15">
        <v>3</v>
      </c>
      <c r="HJ49" s="15">
        <v>3</v>
      </c>
      <c r="HK49" s="15">
        <v>1</v>
      </c>
      <c r="HL49" s="15">
        <v>2</v>
      </c>
      <c r="HM49" s="15">
        <v>5</v>
      </c>
      <c r="HN49" s="15">
        <v>1</v>
      </c>
      <c r="HO49" s="15">
        <v>3</v>
      </c>
      <c r="HP49" s="15">
        <v>1</v>
      </c>
      <c r="HQ49" s="15">
        <v>2</v>
      </c>
      <c r="HR49" s="15">
        <v>4</v>
      </c>
      <c r="HS49" s="15">
        <v>4</v>
      </c>
      <c r="HT49" s="15">
        <v>4</v>
      </c>
      <c r="HU49" s="15">
        <v>3</v>
      </c>
      <c r="HV49" s="15">
        <v>2</v>
      </c>
      <c r="HW49" s="15">
        <v>3.5</v>
      </c>
      <c r="HX49" s="15">
        <v>4.25</v>
      </c>
      <c r="HY49" s="15">
        <v>4.5</v>
      </c>
      <c r="HZ49" s="15">
        <v>3.25</v>
      </c>
      <c r="IA49" s="15">
        <v>3.5</v>
      </c>
      <c r="IB49" s="15">
        <v>4</v>
      </c>
      <c r="IC49" s="15">
        <v>3.25</v>
      </c>
      <c r="ID49" s="15">
        <v>4</v>
      </c>
      <c r="IE49" s="15">
        <v>1.75</v>
      </c>
      <c r="IF49" s="15">
        <v>2.25</v>
      </c>
      <c r="IG49" s="15">
        <v>1.5</v>
      </c>
      <c r="IH49" s="15">
        <v>2</v>
      </c>
      <c r="II49" s="15">
        <v>3.25</v>
      </c>
      <c r="IJ49" s="15">
        <v>3</v>
      </c>
      <c r="IK49" s="15">
        <v>3.75</v>
      </c>
      <c r="IL49" s="15">
        <v>3.75</v>
      </c>
      <c r="IM49" s="15">
        <v>2.75</v>
      </c>
      <c r="IN49" s="15">
        <v>3.5</v>
      </c>
      <c r="IO49" s="15">
        <v>2.75</v>
      </c>
      <c r="IP49" s="15">
        <v>3.25</v>
      </c>
      <c r="IQ49" s="15">
        <v>3.75</v>
      </c>
      <c r="IR49" s="15">
        <v>3.5</v>
      </c>
      <c r="IS49" s="15">
        <v>3</v>
      </c>
      <c r="IT49" s="15">
        <v>2.75</v>
      </c>
      <c r="IU49" s="15">
        <v>2.5</v>
      </c>
      <c r="IV49" s="15">
        <v>5</v>
      </c>
      <c r="IW49" s="15">
        <v>3.5</v>
      </c>
      <c r="IX49" s="15">
        <v>4.5</v>
      </c>
      <c r="IY49" s="15">
        <v>3.5</v>
      </c>
      <c r="IZ49" s="15">
        <v>3</v>
      </c>
    </row>
    <row r="50" spans="1:260" s="12" customFormat="1" x14ac:dyDescent="0.3">
      <c r="A50" s="15">
        <v>52</v>
      </c>
      <c r="B50" s="15" t="s">
        <v>469</v>
      </c>
      <c r="C50" s="16">
        <v>21</v>
      </c>
      <c r="D50" s="15" t="s">
        <v>258</v>
      </c>
      <c r="E50" s="15" t="s">
        <v>259</v>
      </c>
      <c r="F50" s="15" t="s">
        <v>260</v>
      </c>
      <c r="G50" s="15" t="s">
        <v>268</v>
      </c>
      <c r="H50" s="15" t="s">
        <v>269</v>
      </c>
      <c r="I50" s="15" t="s">
        <v>280</v>
      </c>
      <c r="J50" s="15" t="s">
        <v>280</v>
      </c>
      <c r="K50" s="15" t="s">
        <v>277</v>
      </c>
      <c r="L50" s="15" t="s">
        <v>278</v>
      </c>
      <c r="M50" s="15" t="s">
        <v>381</v>
      </c>
      <c r="N50" s="15"/>
      <c r="O50" s="15"/>
      <c r="P50" s="15"/>
      <c r="Q50" s="15"/>
      <c r="R50" s="15">
        <f>1/1</f>
        <v>1</v>
      </c>
      <c r="S50" s="15">
        <v>0</v>
      </c>
      <c r="T50" s="15">
        <v>2.5372789999999998</v>
      </c>
      <c r="U50" s="15">
        <v>0</v>
      </c>
      <c r="V50" s="15">
        <v>0</v>
      </c>
      <c r="W50" s="15">
        <v>0</v>
      </c>
      <c r="X50" s="15">
        <v>5.7354080000000005</v>
      </c>
      <c r="Y50" s="15">
        <v>0</v>
      </c>
      <c r="Z50" s="15"/>
      <c r="AA50" s="15"/>
      <c r="AB50" s="15"/>
      <c r="AC50" s="15"/>
      <c r="AD50" s="15">
        <v>0</v>
      </c>
      <c r="AE50" s="15">
        <f t="shared" si="14"/>
        <v>1</v>
      </c>
      <c r="AF50" s="15">
        <v>38.479968999999997</v>
      </c>
      <c r="AG50" s="15">
        <v>0</v>
      </c>
      <c r="AH50" s="15">
        <v>0</v>
      </c>
      <c r="AI50" s="15"/>
      <c r="AJ50" s="15"/>
      <c r="AK50" s="15">
        <v>9</v>
      </c>
      <c r="AL50" s="15">
        <f>6/8</f>
        <v>0.75</v>
      </c>
      <c r="AM50" s="15"/>
      <c r="AN50" s="15">
        <f>1.1*7+1.05+0.2</f>
        <v>8.9500000000000011</v>
      </c>
      <c r="AO50" s="15">
        <v>0</v>
      </c>
      <c r="AP50" s="15">
        <f>3/3</f>
        <v>1</v>
      </c>
      <c r="AQ50" s="15">
        <v>8.2509169999999994</v>
      </c>
      <c r="AR50" s="15">
        <v>9.2499999999999999E-2</v>
      </c>
      <c r="AS50" s="15">
        <v>0</v>
      </c>
      <c r="AT50" s="15"/>
      <c r="AU50" s="15"/>
      <c r="AV50" s="15"/>
      <c r="AW50" s="15"/>
      <c r="AX50" s="15"/>
      <c r="AY50" s="15"/>
      <c r="AZ50" s="15">
        <v>0</v>
      </c>
      <c r="BA50" s="15">
        <f t="shared" si="18"/>
        <v>1</v>
      </c>
      <c r="BB50" s="15">
        <v>9.4048069999999999</v>
      </c>
      <c r="BC50" s="15">
        <v>0</v>
      </c>
      <c r="BD50" s="15">
        <v>0</v>
      </c>
      <c r="BE50" s="15"/>
      <c r="BF50" s="15"/>
      <c r="BG50" s="15"/>
      <c r="BH50" s="15"/>
      <c r="BI50" s="15"/>
      <c r="BJ50" s="15"/>
      <c r="BK50" s="15">
        <v>0</v>
      </c>
      <c r="BL50" s="15">
        <f t="shared" si="16"/>
        <v>1</v>
      </c>
      <c r="BM50" s="15">
        <v>9.4194940000000003</v>
      </c>
      <c r="BN50" s="15">
        <f>0</f>
        <v>0</v>
      </c>
      <c r="BO50" s="15"/>
      <c r="BP50" s="15"/>
      <c r="BQ50" s="15"/>
      <c r="BR50" s="15"/>
      <c r="BS50" s="15">
        <v>0</v>
      </c>
      <c r="BT50" s="15">
        <f t="shared" si="17"/>
        <v>1</v>
      </c>
      <c r="BU50" s="15">
        <v>8.4618389999999994</v>
      </c>
      <c r="BV50" s="15">
        <v>0</v>
      </c>
      <c r="BW50" s="15">
        <v>0</v>
      </c>
      <c r="BX50" s="15"/>
      <c r="BY50" s="15"/>
      <c r="BZ50" s="15">
        <f>5</f>
        <v>5</v>
      </c>
      <c r="CA50" s="15">
        <f>2/5</f>
        <v>0.4</v>
      </c>
      <c r="CB50" s="15"/>
      <c r="CC50" s="15">
        <f>1.05*5</f>
        <v>5.25</v>
      </c>
      <c r="CD50" s="15">
        <v>0</v>
      </c>
      <c r="CE50" s="15">
        <f t="shared" si="11"/>
        <v>1</v>
      </c>
      <c r="CF50" s="15">
        <v>18.777560000000001</v>
      </c>
      <c r="CG50" s="15">
        <v>0.14749999999999999</v>
      </c>
      <c r="CH50" s="15">
        <v>0</v>
      </c>
      <c r="CI50" s="15"/>
      <c r="CJ50" s="15"/>
      <c r="CK50" s="15">
        <f t="shared" si="12"/>
        <v>101.067273</v>
      </c>
      <c r="CL50" s="15">
        <f>3/8</f>
        <v>0.375</v>
      </c>
      <c r="CM50" s="15">
        <v>2</v>
      </c>
      <c r="CN50" s="15">
        <v>0</v>
      </c>
      <c r="CO50" s="15">
        <f>Table1[[#This Row],[TotalTrapsRisked]]/5</f>
        <v>0</v>
      </c>
      <c r="CP50" s="15">
        <v>0</v>
      </c>
      <c r="CQ50" s="15">
        <v>1</v>
      </c>
      <c r="CR50" s="15">
        <v>1</v>
      </c>
      <c r="CS50" s="15">
        <v>1</v>
      </c>
      <c r="CT50" s="15">
        <v>2</v>
      </c>
      <c r="CU50" s="15">
        <v>368</v>
      </c>
      <c r="CV50" s="15">
        <v>1300</v>
      </c>
      <c r="CW50" s="15">
        <v>2</v>
      </c>
      <c r="CX50" s="15"/>
      <c r="CY50" s="15"/>
      <c r="CZ50" s="15"/>
      <c r="DA50" s="15"/>
      <c r="DB50" s="15"/>
      <c r="DC50" s="15"/>
      <c r="DD50" s="15">
        <v>0</v>
      </c>
      <c r="DE50" s="15">
        <v>0</v>
      </c>
      <c r="DF50" s="15">
        <v>5</v>
      </c>
      <c r="DG50" s="15">
        <v>3</v>
      </c>
      <c r="DH50" s="15">
        <v>3</v>
      </c>
      <c r="DI50" s="15">
        <v>3</v>
      </c>
      <c r="DJ50" s="15">
        <v>4</v>
      </c>
      <c r="DK50" s="15">
        <v>4</v>
      </c>
      <c r="DL50" s="15">
        <v>2</v>
      </c>
      <c r="DM50" s="15">
        <v>5</v>
      </c>
      <c r="DN50" s="15">
        <v>1</v>
      </c>
      <c r="DO50" s="15">
        <v>5</v>
      </c>
      <c r="DP50" s="15">
        <v>3</v>
      </c>
      <c r="DQ50" s="15">
        <v>4</v>
      </c>
      <c r="DR50" s="15">
        <v>4</v>
      </c>
      <c r="DS50" s="15">
        <v>5</v>
      </c>
      <c r="DT50" s="15">
        <v>5</v>
      </c>
      <c r="DU50" s="15">
        <v>5</v>
      </c>
      <c r="DV50" s="15">
        <v>2</v>
      </c>
      <c r="DW50" s="15">
        <v>5</v>
      </c>
      <c r="DX50" s="15">
        <v>1</v>
      </c>
      <c r="DY50" s="15">
        <v>4</v>
      </c>
      <c r="DZ50" s="15">
        <v>4</v>
      </c>
      <c r="EA50" s="15">
        <v>5</v>
      </c>
      <c r="EB50" s="15">
        <v>5</v>
      </c>
      <c r="EC50" s="15">
        <v>2</v>
      </c>
      <c r="ED50" s="15">
        <v>4</v>
      </c>
      <c r="EE50" s="15">
        <v>5</v>
      </c>
      <c r="EF50" s="15">
        <v>3</v>
      </c>
      <c r="EG50" s="15">
        <v>3</v>
      </c>
      <c r="EH50" s="15">
        <v>5</v>
      </c>
      <c r="EI50" s="15">
        <v>2</v>
      </c>
      <c r="EJ50" s="15">
        <v>5</v>
      </c>
      <c r="EK50" s="15">
        <v>3</v>
      </c>
      <c r="EL50" s="15">
        <v>4</v>
      </c>
      <c r="EM50" s="15">
        <v>4</v>
      </c>
      <c r="EN50" s="15">
        <v>4</v>
      </c>
      <c r="EO50" s="15">
        <v>4</v>
      </c>
      <c r="EP50" s="15">
        <v>3</v>
      </c>
      <c r="EQ50" s="15">
        <v>5</v>
      </c>
      <c r="ER50" s="15">
        <v>1</v>
      </c>
      <c r="ES50" s="15">
        <v>4</v>
      </c>
      <c r="ET50" s="15">
        <v>2</v>
      </c>
      <c r="EU50" s="15">
        <v>2</v>
      </c>
      <c r="EV50" s="15">
        <v>5</v>
      </c>
      <c r="EW50" s="15">
        <v>5</v>
      </c>
      <c r="EX50" s="15">
        <v>5</v>
      </c>
      <c r="EY50" s="15">
        <v>4</v>
      </c>
      <c r="EZ50" s="15">
        <v>3</v>
      </c>
      <c r="FA50" s="15">
        <v>3</v>
      </c>
      <c r="FB50" s="15">
        <v>3</v>
      </c>
      <c r="FC50" s="15">
        <v>4</v>
      </c>
      <c r="FD50" s="15">
        <v>2</v>
      </c>
      <c r="FE50" s="15">
        <v>4</v>
      </c>
      <c r="FF50" s="15">
        <v>1</v>
      </c>
      <c r="FG50" s="15">
        <v>3</v>
      </c>
      <c r="FH50" s="15">
        <v>4</v>
      </c>
      <c r="FI50" s="15">
        <v>2</v>
      </c>
      <c r="FJ50" s="15">
        <v>3</v>
      </c>
      <c r="FK50" s="15">
        <v>2</v>
      </c>
      <c r="FL50" s="15">
        <v>5</v>
      </c>
      <c r="FM50" s="15">
        <v>4</v>
      </c>
      <c r="FN50" s="15">
        <v>4</v>
      </c>
      <c r="FO50" s="15">
        <v>2</v>
      </c>
      <c r="FP50" s="15">
        <v>3</v>
      </c>
      <c r="FQ50" s="15">
        <v>3</v>
      </c>
      <c r="FR50" s="15">
        <v>3</v>
      </c>
      <c r="FS50" s="15">
        <v>4</v>
      </c>
      <c r="FT50" s="15">
        <v>3</v>
      </c>
      <c r="FU50" s="15">
        <v>2</v>
      </c>
      <c r="FV50" s="15">
        <v>4</v>
      </c>
      <c r="FW50" s="15">
        <v>1</v>
      </c>
      <c r="FX50" s="15">
        <v>2</v>
      </c>
      <c r="FY50" s="15">
        <v>3</v>
      </c>
      <c r="FZ50" s="15">
        <v>3</v>
      </c>
      <c r="GA50" s="15">
        <v>2</v>
      </c>
      <c r="GB50" s="15">
        <v>1</v>
      </c>
      <c r="GC50" s="15">
        <v>1</v>
      </c>
      <c r="GD50" s="15">
        <v>4</v>
      </c>
      <c r="GE50" s="15">
        <v>2</v>
      </c>
      <c r="GF50" s="15">
        <v>2</v>
      </c>
      <c r="GG50" s="15">
        <v>3</v>
      </c>
      <c r="GH50" s="15">
        <v>2</v>
      </c>
      <c r="GI50" s="15">
        <v>2</v>
      </c>
      <c r="GJ50" s="15">
        <v>3</v>
      </c>
      <c r="GK50" s="15">
        <v>2</v>
      </c>
      <c r="GL50" s="15">
        <v>3</v>
      </c>
      <c r="GM50" s="15">
        <v>4</v>
      </c>
      <c r="GN50" s="15">
        <v>3</v>
      </c>
      <c r="GO50" s="15">
        <v>4</v>
      </c>
      <c r="GP50" s="15">
        <v>1</v>
      </c>
      <c r="GQ50" s="15">
        <v>2</v>
      </c>
      <c r="GR50" s="15">
        <v>2</v>
      </c>
      <c r="GS50" s="15">
        <v>4</v>
      </c>
      <c r="GT50" s="15">
        <v>2</v>
      </c>
      <c r="GU50" s="15">
        <v>3</v>
      </c>
      <c r="GV50" s="15">
        <v>3</v>
      </c>
      <c r="GW50" s="15">
        <v>3</v>
      </c>
      <c r="GX50" s="15">
        <v>2</v>
      </c>
      <c r="GY50" s="15">
        <v>1</v>
      </c>
      <c r="GZ50" s="15">
        <v>1</v>
      </c>
      <c r="HA50" s="15">
        <v>1</v>
      </c>
      <c r="HB50" s="15">
        <v>1</v>
      </c>
      <c r="HC50" s="15">
        <v>4</v>
      </c>
      <c r="HD50" s="15">
        <v>4</v>
      </c>
      <c r="HE50" s="15">
        <v>1</v>
      </c>
      <c r="HF50" s="15">
        <v>1</v>
      </c>
      <c r="HG50" s="15">
        <v>1</v>
      </c>
      <c r="HH50" s="15">
        <v>1</v>
      </c>
      <c r="HI50" s="15">
        <v>3</v>
      </c>
      <c r="HJ50" s="15">
        <v>1</v>
      </c>
      <c r="HK50" s="15">
        <v>2</v>
      </c>
      <c r="HL50" s="15">
        <v>2</v>
      </c>
      <c r="HM50" s="15">
        <v>3</v>
      </c>
      <c r="HN50" s="15">
        <v>1</v>
      </c>
      <c r="HO50" s="15">
        <v>1</v>
      </c>
      <c r="HP50" s="15">
        <v>2</v>
      </c>
      <c r="HQ50" s="15">
        <v>4</v>
      </c>
      <c r="HR50" s="15">
        <v>3</v>
      </c>
      <c r="HS50" s="15">
        <v>4</v>
      </c>
      <c r="HT50" s="15">
        <v>4</v>
      </c>
      <c r="HU50" s="15">
        <v>1</v>
      </c>
      <c r="HV50" s="15">
        <v>1</v>
      </c>
      <c r="HW50" s="15">
        <v>3.5</v>
      </c>
      <c r="HX50" s="15">
        <v>4</v>
      </c>
      <c r="HY50" s="15">
        <v>5</v>
      </c>
      <c r="HZ50" s="15">
        <v>4</v>
      </c>
      <c r="IA50" s="15">
        <v>3</v>
      </c>
      <c r="IB50" s="15">
        <v>3.75</v>
      </c>
      <c r="IC50" s="15">
        <v>4.5</v>
      </c>
      <c r="ID50" s="15">
        <v>4</v>
      </c>
      <c r="IE50" s="15">
        <v>2.5</v>
      </c>
      <c r="IF50" s="15">
        <v>4.5</v>
      </c>
      <c r="IG50" s="15">
        <v>3.75</v>
      </c>
      <c r="IH50" s="15">
        <v>3.25</v>
      </c>
      <c r="II50" s="15">
        <v>3.5</v>
      </c>
      <c r="IJ50" s="15">
        <v>3.25</v>
      </c>
      <c r="IK50" s="15">
        <v>2.75</v>
      </c>
      <c r="IL50" s="15">
        <v>2.5</v>
      </c>
      <c r="IM50" s="15">
        <v>3.25</v>
      </c>
      <c r="IN50" s="15">
        <v>3.5</v>
      </c>
      <c r="IO50" s="15">
        <v>3.25</v>
      </c>
      <c r="IP50" s="15">
        <v>4.75</v>
      </c>
      <c r="IQ50" s="15">
        <v>4.5</v>
      </c>
      <c r="IR50" s="15">
        <v>4.25</v>
      </c>
      <c r="IS50" s="15">
        <v>4.75</v>
      </c>
      <c r="IT50" s="15">
        <v>3</v>
      </c>
      <c r="IU50" s="15">
        <v>3.25</v>
      </c>
      <c r="IV50" s="15">
        <v>5</v>
      </c>
      <c r="IW50" s="15">
        <v>5</v>
      </c>
      <c r="IX50" s="15">
        <v>3.75</v>
      </c>
      <c r="IY50" s="15">
        <v>3.5</v>
      </c>
      <c r="IZ50" s="15">
        <v>4.75</v>
      </c>
    </row>
    <row r="51" spans="1:260" s="12" customFormat="1" x14ac:dyDescent="0.3">
      <c r="A51" s="15">
        <v>53</v>
      </c>
      <c r="B51" s="15" t="s">
        <v>469</v>
      </c>
      <c r="C51" s="16">
        <v>21</v>
      </c>
      <c r="D51" s="15" t="s">
        <v>288</v>
      </c>
      <c r="E51" s="15" t="s">
        <v>259</v>
      </c>
      <c r="F51" s="15" t="s">
        <v>260</v>
      </c>
      <c r="G51" s="15" t="s">
        <v>268</v>
      </c>
      <c r="H51" s="15" t="s">
        <v>354</v>
      </c>
      <c r="I51" s="15" t="s">
        <v>280</v>
      </c>
      <c r="J51" s="15" t="s">
        <v>280</v>
      </c>
      <c r="K51" s="15" t="s">
        <v>277</v>
      </c>
      <c r="L51" s="15" t="s">
        <v>278</v>
      </c>
      <c r="M51" s="15" t="s">
        <v>382</v>
      </c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>
        <v>0</v>
      </c>
      <c r="AE51" s="15">
        <f t="shared" si="14"/>
        <v>1</v>
      </c>
      <c r="AF51" s="15">
        <v>6.9735279999999999</v>
      </c>
      <c r="AG51" s="15">
        <f>0</f>
        <v>0</v>
      </c>
      <c r="AH51" s="15">
        <f>1</f>
        <v>1</v>
      </c>
      <c r="AI51" s="15">
        <v>1</v>
      </c>
      <c r="AJ51" s="15">
        <f>5/5</f>
        <v>1</v>
      </c>
      <c r="AK51" s="15"/>
      <c r="AL51" s="15"/>
      <c r="AM51" s="15"/>
      <c r="AN51" s="15"/>
      <c r="AO51" s="15">
        <v>0</v>
      </c>
      <c r="AP51" s="15">
        <f>2/3</f>
        <v>0.66666666666666663</v>
      </c>
      <c r="AQ51" s="15">
        <v>9.8678059999999999</v>
      </c>
      <c r="AR51" s="15">
        <v>0.44</v>
      </c>
      <c r="AS51" s="15">
        <v>0</v>
      </c>
      <c r="AT51" s="15"/>
      <c r="AU51" s="15"/>
      <c r="AV51" s="15"/>
      <c r="AW51" s="15"/>
      <c r="AX51" s="15"/>
      <c r="AY51" s="15"/>
      <c r="AZ51" s="15">
        <v>0</v>
      </c>
      <c r="BA51" s="15">
        <f t="shared" si="18"/>
        <v>1</v>
      </c>
      <c r="BB51" s="15">
        <v>7.2086450000000006</v>
      </c>
      <c r="BC51" s="15">
        <v>0</v>
      </c>
      <c r="BD51" s="15">
        <v>0</v>
      </c>
      <c r="BE51" s="15"/>
      <c r="BF51" s="15"/>
      <c r="BG51" s="15"/>
      <c r="BH51" s="15"/>
      <c r="BI51" s="15"/>
      <c r="BJ51" s="15"/>
      <c r="BK51" s="15">
        <v>0</v>
      </c>
      <c r="BL51" s="15">
        <f t="shared" si="16"/>
        <v>1</v>
      </c>
      <c r="BM51" s="15">
        <v>11.895297000000001</v>
      </c>
      <c r="BN51" s="15">
        <v>0</v>
      </c>
      <c r="BO51" s="15"/>
      <c r="BP51" s="15"/>
      <c r="BQ51" s="15"/>
      <c r="BR51" s="15"/>
      <c r="BS51" s="15">
        <v>0</v>
      </c>
      <c r="BT51" s="15">
        <f t="shared" si="17"/>
        <v>1</v>
      </c>
      <c r="BU51" s="15">
        <v>15.432566000000001</v>
      </c>
      <c r="BV51" s="15">
        <v>0</v>
      </c>
      <c r="BW51" s="15">
        <v>0</v>
      </c>
      <c r="BX51" s="15"/>
      <c r="BY51" s="15"/>
      <c r="BZ51" s="15"/>
      <c r="CA51" s="15"/>
      <c r="CB51" s="15"/>
      <c r="CC51" s="15"/>
      <c r="CD51" s="15">
        <v>0</v>
      </c>
      <c r="CE51" s="15">
        <f t="shared" si="11"/>
        <v>1</v>
      </c>
      <c r="CF51" s="15">
        <v>22.369603999999999</v>
      </c>
      <c r="CG51" s="15">
        <v>3.5000000000000003E-2</v>
      </c>
      <c r="CH51" s="15">
        <v>0</v>
      </c>
      <c r="CI51" s="15"/>
      <c r="CJ51" s="15"/>
      <c r="CK51" s="15">
        <f t="shared" si="12"/>
        <v>73.747445999999997</v>
      </c>
      <c r="CL51" s="15">
        <v>0</v>
      </c>
      <c r="CM51" s="15">
        <v>0</v>
      </c>
      <c r="CN51" s="15">
        <v>1</v>
      </c>
      <c r="CO51" s="15">
        <f>Table1[[#This Row],[TotalTrapsRisked]]/5</f>
        <v>0.2</v>
      </c>
      <c r="CP51" s="15">
        <v>0</v>
      </c>
      <c r="CQ51" s="15">
        <v>0</v>
      </c>
      <c r="CR51" s="15">
        <v>0.125</v>
      </c>
      <c r="CS51" s="15">
        <v>0.29090909090909089</v>
      </c>
      <c r="CT51" s="15">
        <v>0</v>
      </c>
      <c r="CU51" s="15">
        <v>166</v>
      </c>
      <c r="CV51" s="15">
        <v>320</v>
      </c>
      <c r="CW51" s="15">
        <v>0</v>
      </c>
      <c r="CX51" s="15"/>
      <c r="CY51" s="15"/>
      <c r="CZ51" s="15"/>
      <c r="DA51" s="15"/>
      <c r="DB51" s="15"/>
      <c r="DC51" s="15"/>
      <c r="DD51" s="15">
        <v>0</v>
      </c>
      <c r="DE51" s="15">
        <v>0</v>
      </c>
      <c r="DF51" s="15">
        <v>4</v>
      </c>
      <c r="DG51" s="15">
        <v>3</v>
      </c>
      <c r="DH51" s="15">
        <v>4</v>
      </c>
      <c r="DI51" s="15">
        <v>3</v>
      </c>
      <c r="DJ51" s="15">
        <v>4</v>
      </c>
      <c r="DK51" s="15">
        <v>1</v>
      </c>
      <c r="DL51" s="15">
        <v>4</v>
      </c>
      <c r="DM51" s="15">
        <v>5</v>
      </c>
      <c r="DN51" s="15">
        <v>2</v>
      </c>
      <c r="DO51" s="15">
        <v>3</v>
      </c>
      <c r="DP51" s="15">
        <v>2</v>
      </c>
      <c r="DQ51" s="15">
        <v>4</v>
      </c>
      <c r="DR51" s="15">
        <v>5</v>
      </c>
      <c r="DS51" s="15">
        <v>4</v>
      </c>
      <c r="DT51" s="15">
        <v>4</v>
      </c>
      <c r="DU51" s="15">
        <v>5</v>
      </c>
      <c r="DV51" s="15">
        <v>2</v>
      </c>
      <c r="DW51" s="15">
        <v>4</v>
      </c>
      <c r="DX51" s="15">
        <v>3</v>
      </c>
      <c r="DY51" s="15">
        <v>2</v>
      </c>
      <c r="DZ51" s="15">
        <v>3</v>
      </c>
      <c r="EA51" s="15">
        <v>4</v>
      </c>
      <c r="EB51" s="15">
        <v>3</v>
      </c>
      <c r="EC51" s="15">
        <v>4</v>
      </c>
      <c r="ED51" s="15">
        <v>4</v>
      </c>
      <c r="EE51" s="15">
        <v>4</v>
      </c>
      <c r="EF51" s="15">
        <v>5</v>
      </c>
      <c r="EG51" s="15">
        <v>3</v>
      </c>
      <c r="EH51" s="15">
        <v>4</v>
      </c>
      <c r="EI51" s="15">
        <v>4</v>
      </c>
      <c r="EJ51" s="15">
        <v>3</v>
      </c>
      <c r="EK51" s="15">
        <v>3</v>
      </c>
      <c r="EL51" s="15">
        <v>4</v>
      </c>
      <c r="EM51" s="15">
        <v>4</v>
      </c>
      <c r="EN51" s="15">
        <v>4</v>
      </c>
      <c r="EO51" s="15">
        <v>2</v>
      </c>
      <c r="EP51" s="15">
        <v>1</v>
      </c>
      <c r="EQ51" s="15">
        <v>5</v>
      </c>
      <c r="ER51" s="15">
        <v>3</v>
      </c>
      <c r="ES51" s="15">
        <v>4</v>
      </c>
      <c r="ET51" s="15">
        <v>2</v>
      </c>
      <c r="EU51" s="15">
        <v>4</v>
      </c>
      <c r="EV51" s="15">
        <v>5</v>
      </c>
      <c r="EW51" s="15">
        <v>5</v>
      </c>
      <c r="EX51" s="15">
        <v>4</v>
      </c>
      <c r="EY51" s="15">
        <v>5</v>
      </c>
      <c r="EZ51" s="15">
        <v>4</v>
      </c>
      <c r="FA51" s="15">
        <v>3</v>
      </c>
      <c r="FB51" s="15">
        <v>2</v>
      </c>
      <c r="FC51" s="15">
        <v>4</v>
      </c>
      <c r="FD51" s="15">
        <v>3</v>
      </c>
      <c r="FE51" s="15">
        <v>4</v>
      </c>
      <c r="FF51" s="15">
        <v>3</v>
      </c>
      <c r="FG51" s="15">
        <v>4</v>
      </c>
      <c r="FH51" s="15">
        <v>3</v>
      </c>
      <c r="FI51" s="15">
        <v>2</v>
      </c>
      <c r="FJ51" s="15">
        <v>3</v>
      </c>
      <c r="FK51" s="15">
        <v>4</v>
      </c>
      <c r="FL51" s="15">
        <v>4</v>
      </c>
      <c r="FM51" s="15">
        <v>4</v>
      </c>
      <c r="FN51" s="15">
        <v>4</v>
      </c>
      <c r="FO51" s="15">
        <v>2</v>
      </c>
      <c r="FP51" s="15">
        <v>4</v>
      </c>
      <c r="FQ51" s="15">
        <v>4</v>
      </c>
      <c r="FR51" s="15">
        <v>3</v>
      </c>
      <c r="FS51" s="15">
        <v>4</v>
      </c>
      <c r="FT51" s="15">
        <v>3</v>
      </c>
      <c r="FU51" s="15">
        <v>4</v>
      </c>
      <c r="FV51" s="15">
        <v>2</v>
      </c>
      <c r="FW51" s="15">
        <v>2</v>
      </c>
      <c r="FX51" s="15">
        <v>5</v>
      </c>
      <c r="FY51" s="15">
        <v>2</v>
      </c>
      <c r="FZ51" s="15">
        <v>4</v>
      </c>
      <c r="GA51" s="15">
        <v>1</v>
      </c>
      <c r="GB51" s="15">
        <v>1</v>
      </c>
      <c r="GC51" s="15">
        <v>2</v>
      </c>
      <c r="GD51" s="15">
        <v>2</v>
      </c>
      <c r="GE51" s="15">
        <v>4</v>
      </c>
      <c r="GF51" s="15">
        <v>3</v>
      </c>
      <c r="GG51" s="15">
        <v>2</v>
      </c>
      <c r="GH51" s="15">
        <v>3</v>
      </c>
      <c r="GI51" s="15">
        <v>2</v>
      </c>
      <c r="GJ51" s="15">
        <v>4</v>
      </c>
      <c r="GK51" s="15">
        <v>1</v>
      </c>
      <c r="GL51" s="15">
        <v>4</v>
      </c>
      <c r="GM51" s="15">
        <v>4</v>
      </c>
      <c r="GN51" s="15">
        <v>3</v>
      </c>
      <c r="GO51" s="15">
        <v>5</v>
      </c>
      <c r="GP51" s="15">
        <v>3</v>
      </c>
      <c r="GQ51" s="15">
        <v>1</v>
      </c>
      <c r="GR51" s="15">
        <v>4</v>
      </c>
      <c r="GS51" s="15">
        <v>2</v>
      </c>
      <c r="GT51" s="15">
        <v>2</v>
      </c>
      <c r="GU51" s="15">
        <v>4</v>
      </c>
      <c r="GV51" s="15">
        <v>2</v>
      </c>
      <c r="GW51" s="15">
        <v>4</v>
      </c>
      <c r="GX51" s="15">
        <v>4</v>
      </c>
      <c r="GY51" s="15">
        <v>2</v>
      </c>
      <c r="GZ51" s="15">
        <v>2</v>
      </c>
      <c r="HA51" s="15">
        <v>2</v>
      </c>
      <c r="HB51" s="15">
        <v>2</v>
      </c>
      <c r="HC51" s="15">
        <v>4</v>
      </c>
      <c r="HD51" s="15">
        <v>4</v>
      </c>
      <c r="HE51" s="15">
        <v>1</v>
      </c>
      <c r="HF51" s="15">
        <v>2</v>
      </c>
      <c r="HG51" s="15">
        <v>2</v>
      </c>
      <c r="HH51" s="15">
        <v>2</v>
      </c>
      <c r="HI51" s="15">
        <v>2</v>
      </c>
      <c r="HJ51" s="15">
        <v>3</v>
      </c>
      <c r="HK51" s="15">
        <v>2</v>
      </c>
      <c r="HL51" s="15">
        <v>2</v>
      </c>
      <c r="HM51" s="15">
        <v>2</v>
      </c>
      <c r="HN51" s="15">
        <v>3</v>
      </c>
      <c r="HO51" s="15">
        <v>3</v>
      </c>
      <c r="HP51" s="15">
        <v>2</v>
      </c>
      <c r="HQ51" s="15">
        <v>4</v>
      </c>
      <c r="HR51" s="15">
        <v>4</v>
      </c>
      <c r="HS51" s="15">
        <v>5</v>
      </c>
      <c r="HT51" s="15">
        <v>2</v>
      </c>
      <c r="HU51" s="15">
        <v>4</v>
      </c>
      <c r="HV51" s="15">
        <v>4</v>
      </c>
      <c r="HW51" s="15">
        <v>3.75</v>
      </c>
      <c r="HX51" s="15">
        <v>2.5</v>
      </c>
      <c r="HY51" s="15">
        <v>4</v>
      </c>
      <c r="HZ51" s="15">
        <v>3.25</v>
      </c>
      <c r="IA51" s="15">
        <v>2.75</v>
      </c>
      <c r="IB51" s="15">
        <v>2</v>
      </c>
      <c r="IC51" s="15">
        <v>3.25</v>
      </c>
      <c r="ID51" s="15">
        <v>2.25</v>
      </c>
      <c r="IE51" s="15">
        <v>2</v>
      </c>
      <c r="IF51" s="15">
        <v>4</v>
      </c>
      <c r="IG51" s="15">
        <v>3.5</v>
      </c>
      <c r="IH51" s="15">
        <v>2.75</v>
      </c>
      <c r="II51" s="15">
        <v>3.5</v>
      </c>
      <c r="IJ51" s="15">
        <v>3</v>
      </c>
      <c r="IK51" s="15">
        <v>3.5</v>
      </c>
      <c r="IL51" s="15">
        <v>3.5</v>
      </c>
      <c r="IM51" s="15">
        <v>3.75</v>
      </c>
      <c r="IN51" s="15">
        <v>4.5</v>
      </c>
      <c r="IO51" s="15">
        <v>4</v>
      </c>
      <c r="IP51" s="15">
        <v>4</v>
      </c>
      <c r="IQ51" s="15">
        <v>5</v>
      </c>
      <c r="IR51" s="15">
        <v>3.25</v>
      </c>
      <c r="IS51" s="15">
        <v>3.5</v>
      </c>
      <c r="IT51" s="15">
        <v>3.5</v>
      </c>
      <c r="IU51" s="15">
        <v>3.75</v>
      </c>
      <c r="IV51" s="15">
        <v>3.75</v>
      </c>
      <c r="IW51" s="15">
        <v>4.5</v>
      </c>
      <c r="IX51" s="15">
        <v>3.75</v>
      </c>
      <c r="IY51" s="15">
        <v>2.5</v>
      </c>
      <c r="IZ51" s="15">
        <v>3.75</v>
      </c>
    </row>
    <row r="52" spans="1:260" s="12" customFormat="1" x14ac:dyDescent="0.3">
      <c r="A52" s="15">
        <v>54</v>
      </c>
      <c r="B52" s="15" t="s">
        <v>469</v>
      </c>
      <c r="C52" s="16">
        <v>18</v>
      </c>
      <c r="D52" s="15" t="s">
        <v>258</v>
      </c>
      <c r="E52" s="15" t="s">
        <v>259</v>
      </c>
      <c r="F52" s="15" t="s">
        <v>260</v>
      </c>
      <c r="G52" s="15" t="s">
        <v>261</v>
      </c>
      <c r="H52" s="15" t="s">
        <v>340</v>
      </c>
      <c r="I52" s="15" t="s">
        <v>280</v>
      </c>
      <c r="J52" s="15" t="s">
        <v>280</v>
      </c>
      <c r="K52" s="15" t="s">
        <v>272</v>
      </c>
      <c r="L52" s="15" t="s">
        <v>383</v>
      </c>
      <c r="M52" s="15" t="s">
        <v>384</v>
      </c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>
        <v>0</v>
      </c>
      <c r="AE52" s="15">
        <f t="shared" si="14"/>
        <v>1</v>
      </c>
      <c r="AF52" s="15">
        <v>3.9367550000000002</v>
      </c>
      <c r="AG52" s="15">
        <v>0</v>
      </c>
      <c r="AH52" s="15">
        <v>0</v>
      </c>
      <c r="AI52" s="15"/>
      <c r="AJ52" s="15"/>
      <c r="AK52" s="15"/>
      <c r="AL52" s="15"/>
      <c r="AM52" s="15"/>
      <c r="AN52" s="15"/>
      <c r="AO52" s="15">
        <v>0</v>
      </c>
      <c r="AP52" s="15">
        <f>2/3</f>
        <v>0.66666666666666663</v>
      </c>
      <c r="AQ52" s="15">
        <v>5.669295</v>
      </c>
      <c r="AR52" s="15">
        <v>0.185</v>
      </c>
      <c r="AS52" s="15">
        <v>0</v>
      </c>
      <c r="AT52" s="15"/>
      <c r="AU52" s="15"/>
      <c r="AV52" s="15"/>
      <c r="AW52" s="15"/>
      <c r="AX52" s="15"/>
      <c r="AY52" s="15"/>
      <c r="AZ52" s="15">
        <v>0</v>
      </c>
      <c r="BA52" s="15">
        <f t="shared" si="18"/>
        <v>1</v>
      </c>
      <c r="BB52" s="15">
        <v>5.5507989999999996</v>
      </c>
      <c r="BC52" s="15">
        <v>0</v>
      </c>
      <c r="BD52" s="15">
        <v>0</v>
      </c>
      <c r="BE52" s="15"/>
      <c r="BF52" s="15"/>
      <c r="BG52" s="15"/>
      <c r="BH52" s="15"/>
      <c r="BI52" s="15"/>
      <c r="BJ52" s="15"/>
      <c r="BK52" s="15">
        <v>0</v>
      </c>
      <c r="BL52" s="15">
        <f t="shared" si="16"/>
        <v>1</v>
      </c>
      <c r="BM52" s="15">
        <v>9.4272629999999999</v>
      </c>
      <c r="BN52" s="15">
        <f>0</f>
        <v>0</v>
      </c>
      <c r="BO52" s="15"/>
      <c r="BP52" s="15"/>
      <c r="BQ52" s="15"/>
      <c r="BR52" s="15"/>
      <c r="BS52" s="15">
        <v>0</v>
      </c>
      <c r="BT52" s="15">
        <f>1/2</f>
        <v>0.5</v>
      </c>
      <c r="BU52" s="15">
        <v>7.8007420000000005</v>
      </c>
      <c r="BV52" s="15">
        <v>0</v>
      </c>
      <c r="BW52" s="15">
        <v>0</v>
      </c>
      <c r="BX52" s="15"/>
      <c r="BY52" s="15"/>
      <c r="BZ52" s="15">
        <v>7</v>
      </c>
      <c r="CA52" s="15">
        <f>2/5</f>
        <v>0.4</v>
      </c>
      <c r="CB52" s="15"/>
      <c r="CC52" s="15">
        <f>1.05*7</f>
        <v>7.3500000000000005</v>
      </c>
      <c r="CD52" s="15">
        <v>0</v>
      </c>
      <c r="CE52" s="15">
        <f>0</f>
        <v>0</v>
      </c>
      <c r="CF52" s="15">
        <v>11.388922000000001</v>
      </c>
      <c r="CG52" s="15">
        <f>0.035</f>
        <v>3.5000000000000003E-2</v>
      </c>
      <c r="CH52" s="15">
        <v>0</v>
      </c>
      <c r="CI52" s="15"/>
      <c r="CJ52" s="15"/>
      <c r="CK52" s="15">
        <f t="shared" si="12"/>
        <v>43.773775999999998</v>
      </c>
      <c r="CL52" s="15">
        <f>1/8</f>
        <v>0.125</v>
      </c>
      <c r="CM52" s="15">
        <v>1</v>
      </c>
      <c r="CN52" s="15">
        <v>0</v>
      </c>
      <c r="CO52" s="15">
        <f>Table1[[#This Row],[TotalTrapsRisked]]/5</f>
        <v>0</v>
      </c>
      <c r="CP52" s="15">
        <v>0</v>
      </c>
      <c r="CQ52" s="15">
        <v>0</v>
      </c>
      <c r="CR52" s="15">
        <v>0.16666666666666666</v>
      </c>
      <c r="CS52" s="15">
        <v>0.24545454545454545</v>
      </c>
      <c r="CT52" s="15">
        <v>0</v>
      </c>
      <c r="CU52" s="15">
        <v>134</v>
      </c>
      <c r="CV52" s="15">
        <v>270</v>
      </c>
      <c r="CW52" s="15">
        <v>0</v>
      </c>
      <c r="CX52" s="15"/>
      <c r="CY52" s="15"/>
      <c r="CZ52" s="15"/>
      <c r="DA52" s="15"/>
      <c r="DB52" s="15"/>
      <c r="DC52" s="15"/>
      <c r="DD52" s="15">
        <v>0</v>
      </c>
      <c r="DE52" s="15">
        <v>0</v>
      </c>
      <c r="DF52" s="15">
        <v>5</v>
      </c>
      <c r="DG52" s="15">
        <v>3</v>
      </c>
      <c r="DH52" s="15">
        <v>4</v>
      </c>
      <c r="DI52" s="15">
        <v>2</v>
      </c>
      <c r="DJ52" s="15">
        <v>5</v>
      </c>
      <c r="DK52" s="15">
        <v>5</v>
      </c>
      <c r="DL52" s="15">
        <v>3</v>
      </c>
      <c r="DM52" s="15">
        <v>5</v>
      </c>
      <c r="DN52" s="15">
        <v>4</v>
      </c>
      <c r="DO52" s="15">
        <v>4</v>
      </c>
      <c r="DP52" s="15">
        <v>3</v>
      </c>
      <c r="DQ52" s="15">
        <v>4</v>
      </c>
      <c r="DR52" s="15">
        <v>3</v>
      </c>
      <c r="DS52" s="15">
        <v>5</v>
      </c>
      <c r="DT52" s="15">
        <v>5</v>
      </c>
      <c r="DU52" s="15">
        <v>4</v>
      </c>
      <c r="DV52" s="15">
        <v>3</v>
      </c>
      <c r="DW52" s="15">
        <v>2</v>
      </c>
      <c r="DX52" s="15">
        <v>3</v>
      </c>
      <c r="DY52" s="15">
        <v>5</v>
      </c>
      <c r="DZ52" s="15">
        <v>5</v>
      </c>
      <c r="EA52" s="15">
        <v>4</v>
      </c>
      <c r="EB52" s="15">
        <v>3</v>
      </c>
      <c r="EC52" s="15">
        <v>3</v>
      </c>
      <c r="ED52" s="15">
        <v>4</v>
      </c>
      <c r="EE52" s="15">
        <v>5</v>
      </c>
      <c r="EF52" s="15">
        <v>5</v>
      </c>
      <c r="EG52" s="15">
        <v>3</v>
      </c>
      <c r="EH52" s="15">
        <v>4</v>
      </c>
      <c r="EI52" s="15">
        <v>1</v>
      </c>
      <c r="EJ52" s="15">
        <v>4</v>
      </c>
      <c r="EK52" s="15">
        <v>2</v>
      </c>
      <c r="EL52" s="15">
        <v>5</v>
      </c>
      <c r="EM52" s="15">
        <v>3</v>
      </c>
      <c r="EN52" s="15">
        <v>3</v>
      </c>
      <c r="EO52" s="15">
        <v>4</v>
      </c>
      <c r="EP52" s="15">
        <v>3</v>
      </c>
      <c r="EQ52" s="15">
        <v>5</v>
      </c>
      <c r="ER52" s="15">
        <v>1</v>
      </c>
      <c r="ES52" s="15">
        <v>4</v>
      </c>
      <c r="ET52" s="15">
        <v>1</v>
      </c>
      <c r="EU52" s="15">
        <v>2</v>
      </c>
      <c r="EV52" s="15">
        <v>4</v>
      </c>
      <c r="EW52" s="15">
        <v>5</v>
      </c>
      <c r="EX52" s="15">
        <v>2</v>
      </c>
      <c r="EY52" s="15">
        <v>4</v>
      </c>
      <c r="EZ52" s="15">
        <v>3</v>
      </c>
      <c r="FA52" s="15">
        <v>5</v>
      </c>
      <c r="FB52" s="15">
        <v>2</v>
      </c>
      <c r="FC52" s="15">
        <v>5</v>
      </c>
      <c r="FD52" s="15">
        <v>2</v>
      </c>
      <c r="FE52" s="15">
        <v>4</v>
      </c>
      <c r="FF52" s="15">
        <v>2</v>
      </c>
      <c r="FG52" s="15">
        <v>4</v>
      </c>
      <c r="FH52" s="15">
        <v>4</v>
      </c>
      <c r="FI52" s="15">
        <v>2</v>
      </c>
      <c r="FJ52" s="15">
        <v>4</v>
      </c>
      <c r="FK52" s="15">
        <v>4</v>
      </c>
      <c r="FL52" s="15">
        <v>3</v>
      </c>
      <c r="FM52" s="15">
        <v>4</v>
      </c>
      <c r="FN52" s="15">
        <v>4</v>
      </c>
      <c r="FO52" s="15">
        <v>4</v>
      </c>
      <c r="FP52" s="15">
        <v>4</v>
      </c>
      <c r="FQ52" s="15">
        <v>2</v>
      </c>
      <c r="FR52" s="15">
        <v>3</v>
      </c>
      <c r="FS52" s="15">
        <v>4</v>
      </c>
      <c r="FT52" s="15">
        <v>4</v>
      </c>
      <c r="FU52" s="15">
        <v>2</v>
      </c>
      <c r="FV52" s="15">
        <v>4</v>
      </c>
      <c r="FW52" s="15">
        <v>2</v>
      </c>
      <c r="FX52" s="15">
        <v>5</v>
      </c>
      <c r="FY52" s="15">
        <v>4</v>
      </c>
      <c r="FZ52" s="15">
        <v>2</v>
      </c>
      <c r="GA52" s="15">
        <v>4</v>
      </c>
      <c r="GB52" s="15">
        <v>2</v>
      </c>
      <c r="GC52" s="15">
        <v>2</v>
      </c>
      <c r="GD52" s="15">
        <v>5</v>
      </c>
      <c r="GE52" s="15">
        <v>4</v>
      </c>
      <c r="GF52" s="15">
        <v>4</v>
      </c>
      <c r="GG52" s="15">
        <v>2</v>
      </c>
      <c r="GH52" s="15">
        <v>5</v>
      </c>
      <c r="GI52" s="15">
        <v>2</v>
      </c>
      <c r="GJ52" s="15">
        <v>2</v>
      </c>
      <c r="GK52" s="15">
        <v>4</v>
      </c>
      <c r="GL52" s="15">
        <v>3</v>
      </c>
      <c r="GM52" s="15">
        <v>5</v>
      </c>
      <c r="GN52" s="15">
        <v>2</v>
      </c>
      <c r="GO52" s="15">
        <v>5</v>
      </c>
      <c r="GP52" s="15">
        <v>4</v>
      </c>
      <c r="GQ52" s="15">
        <v>3</v>
      </c>
      <c r="GR52" s="15">
        <v>2</v>
      </c>
      <c r="GS52" s="15">
        <v>5</v>
      </c>
      <c r="GT52" s="15">
        <v>3</v>
      </c>
      <c r="GU52" s="15">
        <v>2</v>
      </c>
      <c r="GV52" s="15">
        <v>4</v>
      </c>
      <c r="GW52" s="15">
        <v>4</v>
      </c>
      <c r="GX52" s="15">
        <v>2</v>
      </c>
      <c r="GY52" s="15">
        <v>5</v>
      </c>
      <c r="GZ52" s="15">
        <v>2</v>
      </c>
      <c r="HA52" s="15">
        <v>1</v>
      </c>
      <c r="HB52" s="15">
        <v>1</v>
      </c>
      <c r="HC52" s="15">
        <v>3</v>
      </c>
      <c r="HD52" s="15">
        <v>5</v>
      </c>
      <c r="HE52" s="15">
        <v>2</v>
      </c>
      <c r="HF52" s="15">
        <v>1</v>
      </c>
      <c r="HG52" s="15">
        <v>1</v>
      </c>
      <c r="HH52" s="15">
        <v>2</v>
      </c>
      <c r="HI52" s="15">
        <v>5</v>
      </c>
      <c r="HJ52" s="15">
        <v>5</v>
      </c>
      <c r="HK52" s="15">
        <v>2</v>
      </c>
      <c r="HL52" s="15">
        <v>1</v>
      </c>
      <c r="HM52" s="15">
        <v>2</v>
      </c>
      <c r="HN52" s="15">
        <v>1</v>
      </c>
      <c r="HO52" s="15">
        <v>2</v>
      </c>
      <c r="HP52" s="15">
        <v>2</v>
      </c>
      <c r="HQ52" s="15">
        <v>4</v>
      </c>
      <c r="HR52" s="15">
        <v>1</v>
      </c>
      <c r="HS52" s="15">
        <v>4</v>
      </c>
      <c r="HT52" s="15">
        <v>4</v>
      </c>
      <c r="HU52" s="15">
        <v>4</v>
      </c>
      <c r="HV52" s="15">
        <v>1</v>
      </c>
      <c r="HW52" s="15">
        <v>3.75</v>
      </c>
      <c r="HX52" s="15">
        <v>3</v>
      </c>
      <c r="HY52" s="15">
        <v>4</v>
      </c>
      <c r="HZ52" s="15">
        <v>4</v>
      </c>
      <c r="IA52" s="15">
        <v>2.75</v>
      </c>
      <c r="IB52" s="15">
        <v>4</v>
      </c>
      <c r="IC52" s="15">
        <v>4.5</v>
      </c>
      <c r="ID52" s="15">
        <v>4.25</v>
      </c>
      <c r="IE52" s="15">
        <v>2.75</v>
      </c>
      <c r="IF52" s="15">
        <v>4.25</v>
      </c>
      <c r="IG52" s="15">
        <v>4.25</v>
      </c>
      <c r="IH52" s="15">
        <v>3.5</v>
      </c>
      <c r="II52" s="15">
        <v>2.5</v>
      </c>
      <c r="IJ52" s="15">
        <v>2.25</v>
      </c>
      <c r="IK52" s="15">
        <v>2.25</v>
      </c>
      <c r="IL52" s="15">
        <v>2.75</v>
      </c>
      <c r="IM52" s="15">
        <v>2.75</v>
      </c>
      <c r="IN52" s="15">
        <v>4.5</v>
      </c>
      <c r="IO52" s="15">
        <v>3.75</v>
      </c>
      <c r="IP52" s="15">
        <v>4.5</v>
      </c>
      <c r="IQ52" s="15">
        <v>3.25</v>
      </c>
      <c r="IR52" s="15">
        <v>1.5</v>
      </c>
      <c r="IS52" s="15">
        <v>3.25</v>
      </c>
      <c r="IT52" s="15">
        <v>2.75</v>
      </c>
      <c r="IU52" s="15">
        <v>2.25</v>
      </c>
      <c r="IV52" s="15">
        <v>4</v>
      </c>
      <c r="IW52" s="15">
        <v>4.75</v>
      </c>
      <c r="IX52" s="15">
        <v>3.75</v>
      </c>
      <c r="IY52" s="15">
        <v>3</v>
      </c>
      <c r="IZ52" s="15">
        <v>3</v>
      </c>
    </row>
    <row r="53" spans="1:260" s="12" customFormat="1" x14ac:dyDescent="0.3">
      <c r="A53" s="15">
        <v>55</v>
      </c>
      <c r="B53" s="15" t="s">
        <v>469</v>
      </c>
      <c r="C53" s="16">
        <v>21</v>
      </c>
      <c r="D53" s="15" t="s">
        <v>288</v>
      </c>
      <c r="E53" s="15" t="s">
        <v>259</v>
      </c>
      <c r="F53" s="15" t="s">
        <v>260</v>
      </c>
      <c r="G53" s="15" t="s">
        <v>268</v>
      </c>
      <c r="H53" s="15" t="s">
        <v>340</v>
      </c>
      <c r="I53" s="15" t="s">
        <v>280</v>
      </c>
      <c r="J53" s="15" t="s">
        <v>280</v>
      </c>
      <c r="K53" s="15" t="s">
        <v>277</v>
      </c>
      <c r="L53" s="15" t="s">
        <v>281</v>
      </c>
      <c r="M53" s="15" t="s">
        <v>385</v>
      </c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>
        <v>0</v>
      </c>
      <c r="AE53" s="15">
        <f t="shared" si="14"/>
        <v>1</v>
      </c>
      <c r="AF53" s="15">
        <v>3.9088015</v>
      </c>
      <c r="AG53" s="15">
        <f>0</f>
        <v>0</v>
      </c>
      <c r="AH53" s="15">
        <v>1</v>
      </c>
      <c r="AI53" s="15">
        <v>1</v>
      </c>
      <c r="AJ53" s="15">
        <f>3/5</f>
        <v>0.6</v>
      </c>
      <c r="AK53" s="15">
        <v>2</v>
      </c>
      <c r="AL53" s="15">
        <f>2/8</f>
        <v>0.25</v>
      </c>
      <c r="AM53" s="15"/>
      <c r="AN53" s="15">
        <f>1.1*2</f>
        <v>2.2000000000000002</v>
      </c>
      <c r="AO53" s="15">
        <f>0</f>
        <v>0</v>
      </c>
      <c r="AP53" s="15">
        <f>3/3</f>
        <v>1</v>
      </c>
      <c r="AQ53" s="15">
        <v>6.3674379999999999</v>
      </c>
      <c r="AR53" s="15">
        <v>4.4999999999999998E-2</v>
      </c>
      <c r="AS53" s="15">
        <v>0</v>
      </c>
      <c r="AT53" s="15"/>
      <c r="AU53" s="15"/>
      <c r="AV53" s="15"/>
      <c r="AW53" s="15"/>
      <c r="AX53" s="15"/>
      <c r="AY53" s="15"/>
      <c r="AZ53" s="15">
        <v>0</v>
      </c>
      <c r="BA53" s="15">
        <f t="shared" si="18"/>
        <v>1</v>
      </c>
      <c r="BB53" s="15">
        <v>5.2534460000000003</v>
      </c>
      <c r="BC53" s="15">
        <f>0</f>
        <v>0</v>
      </c>
      <c r="BD53" s="15">
        <v>0</v>
      </c>
      <c r="BE53" s="15"/>
      <c r="BF53" s="15"/>
      <c r="BG53" s="15">
        <v>1</v>
      </c>
      <c r="BH53" s="15">
        <f>5/5</f>
        <v>1</v>
      </c>
      <c r="BI53" s="15">
        <v>27.972300000000001</v>
      </c>
      <c r="BJ53" s="15">
        <f>1.05</f>
        <v>1.05</v>
      </c>
      <c r="BK53" s="15"/>
      <c r="BL53" s="15"/>
      <c r="BM53" s="15"/>
      <c r="BN53" s="15"/>
      <c r="BO53" s="15"/>
      <c r="BP53" s="15"/>
      <c r="BQ53" s="15"/>
      <c r="BR53" s="15"/>
      <c r="BS53" s="15">
        <v>0</v>
      </c>
      <c r="BT53" s="15">
        <f>2/2</f>
        <v>1</v>
      </c>
      <c r="BU53" s="15">
        <v>14.173111</v>
      </c>
      <c r="BV53" s="15">
        <v>0</v>
      </c>
      <c r="BW53" s="15">
        <v>0</v>
      </c>
      <c r="BX53" s="15"/>
      <c r="BY53" s="15"/>
      <c r="BZ53" s="15"/>
      <c r="CA53" s="15"/>
      <c r="CB53" s="15"/>
      <c r="CC53" s="15"/>
      <c r="CD53" s="15">
        <v>0</v>
      </c>
      <c r="CE53" s="15">
        <f>2/2</f>
        <v>1</v>
      </c>
      <c r="CF53" s="15">
        <v>16.643929499999999</v>
      </c>
      <c r="CG53" s="15">
        <v>1.1375</v>
      </c>
      <c r="CH53" s="15">
        <v>0</v>
      </c>
      <c r="CI53" s="15"/>
      <c r="CJ53" s="15"/>
      <c r="CK53" s="15">
        <f t="shared" si="12"/>
        <v>74.319026000000008</v>
      </c>
      <c r="CL53" s="15">
        <f>2/8</f>
        <v>0.25</v>
      </c>
      <c r="CM53" s="15">
        <v>1</v>
      </c>
      <c r="CN53" s="15">
        <v>0</v>
      </c>
      <c r="CO53" s="15">
        <f>Table1[[#This Row],[TotalTrapsRisked]]/5</f>
        <v>0</v>
      </c>
      <c r="CP53" s="15">
        <v>0</v>
      </c>
      <c r="CQ53" s="15">
        <v>0</v>
      </c>
      <c r="CR53" s="15">
        <v>0.6875</v>
      </c>
      <c r="CS53" s="15">
        <v>0.8545454545454545</v>
      </c>
      <c r="CT53" s="15">
        <v>2</v>
      </c>
      <c r="CU53" s="15">
        <v>386</v>
      </c>
      <c r="CV53" s="15">
        <v>1140</v>
      </c>
      <c r="CW53" s="15">
        <v>2</v>
      </c>
      <c r="CX53" s="15">
        <v>0.875</v>
      </c>
      <c r="CY53" s="15">
        <v>0.90909090909090906</v>
      </c>
      <c r="CZ53" s="15">
        <v>3</v>
      </c>
      <c r="DA53" s="15">
        <v>386</v>
      </c>
      <c r="DB53" s="15">
        <v>1300</v>
      </c>
      <c r="DC53" s="15">
        <v>2</v>
      </c>
      <c r="DD53" s="15">
        <v>1</v>
      </c>
      <c r="DE53" s="15">
        <v>0</v>
      </c>
      <c r="DF53" s="15">
        <v>4</v>
      </c>
      <c r="DG53" s="15">
        <v>4</v>
      </c>
      <c r="DH53" s="15">
        <v>2</v>
      </c>
      <c r="DI53" s="15">
        <v>4</v>
      </c>
      <c r="DJ53" s="15">
        <v>4</v>
      </c>
      <c r="DK53" s="15">
        <v>1</v>
      </c>
      <c r="DL53" s="15">
        <v>2</v>
      </c>
      <c r="DM53" s="15">
        <v>4</v>
      </c>
      <c r="DN53" s="15">
        <v>1</v>
      </c>
      <c r="DO53" s="15">
        <v>4</v>
      </c>
      <c r="DP53" s="15">
        <v>1</v>
      </c>
      <c r="DQ53" s="15">
        <v>4</v>
      </c>
      <c r="DR53" s="15">
        <v>2</v>
      </c>
      <c r="DS53" s="15">
        <v>4</v>
      </c>
      <c r="DT53" s="15">
        <v>4</v>
      </c>
      <c r="DU53" s="15">
        <v>2</v>
      </c>
      <c r="DV53" s="15">
        <v>1</v>
      </c>
      <c r="DW53" s="15">
        <v>5</v>
      </c>
      <c r="DX53" s="15">
        <v>1</v>
      </c>
      <c r="DY53" s="15">
        <v>4</v>
      </c>
      <c r="DZ53" s="15">
        <v>2</v>
      </c>
      <c r="EA53" s="15">
        <v>4</v>
      </c>
      <c r="EB53" s="15">
        <v>4</v>
      </c>
      <c r="EC53" s="15">
        <v>2</v>
      </c>
      <c r="ED53" s="15">
        <v>3</v>
      </c>
      <c r="EE53" s="15">
        <v>1</v>
      </c>
      <c r="EF53" s="15">
        <v>4</v>
      </c>
      <c r="EG53" s="15">
        <v>4</v>
      </c>
      <c r="EH53" s="15">
        <v>4</v>
      </c>
      <c r="EI53" s="15">
        <v>2</v>
      </c>
      <c r="EJ53" s="15">
        <v>4</v>
      </c>
      <c r="EK53" s="15">
        <v>5</v>
      </c>
      <c r="EL53" s="15">
        <v>2</v>
      </c>
      <c r="EM53" s="15">
        <v>5</v>
      </c>
      <c r="EN53" s="15">
        <v>4</v>
      </c>
      <c r="EO53" s="15">
        <v>1</v>
      </c>
      <c r="EP53" s="15">
        <v>2</v>
      </c>
      <c r="EQ53" s="15">
        <v>5</v>
      </c>
      <c r="ER53" s="15">
        <v>1</v>
      </c>
      <c r="ES53" s="15">
        <v>1</v>
      </c>
      <c r="ET53" s="15">
        <v>2</v>
      </c>
      <c r="EU53" s="15">
        <v>3</v>
      </c>
      <c r="EV53" s="15">
        <v>4</v>
      </c>
      <c r="EW53" s="15">
        <v>5</v>
      </c>
      <c r="EX53" s="15">
        <v>4</v>
      </c>
      <c r="EY53" s="15">
        <v>2</v>
      </c>
      <c r="EZ53" s="15">
        <v>2</v>
      </c>
      <c r="FA53" s="15">
        <v>2</v>
      </c>
      <c r="FB53" s="15">
        <v>1</v>
      </c>
      <c r="FC53" s="15">
        <v>4</v>
      </c>
      <c r="FD53" s="15">
        <v>5</v>
      </c>
      <c r="FE53" s="15">
        <v>4</v>
      </c>
      <c r="FF53" s="15">
        <v>4</v>
      </c>
      <c r="FG53" s="15">
        <v>3</v>
      </c>
      <c r="FH53" s="15">
        <v>4</v>
      </c>
      <c r="FI53" s="15">
        <v>1</v>
      </c>
      <c r="FJ53" s="15">
        <v>4</v>
      </c>
      <c r="FK53" s="15">
        <v>2</v>
      </c>
      <c r="FL53" s="15">
        <v>5</v>
      </c>
      <c r="FM53" s="15">
        <v>1</v>
      </c>
      <c r="FN53" s="15">
        <v>1</v>
      </c>
      <c r="FO53" s="15">
        <v>2</v>
      </c>
      <c r="FP53" s="15">
        <v>4</v>
      </c>
      <c r="FQ53" s="15">
        <v>5</v>
      </c>
      <c r="FR53" s="15">
        <v>4</v>
      </c>
      <c r="FS53" s="15">
        <v>1</v>
      </c>
      <c r="FT53" s="15">
        <v>2</v>
      </c>
      <c r="FU53" s="15">
        <v>3</v>
      </c>
      <c r="FV53" s="15">
        <v>4</v>
      </c>
      <c r="FW53" s="15">
        <v>1</v>
      </c>
      <c r="FX53" s="15">
        <v>1</v>
      </c>
      <c r="FY53" s="15">
        <v>1</v>
      </c>
      <c r="FZ53" s="15">
        <v>4</v>
      </c>
      <c r="GA53" s="15">
        <v>2</v>
      </c>
      <c r="GB53" s="15">
        <v>1</v>
      </c>
      <c r="GC53" s="15">
        <v>2</v>
      </c>
      <c r="GD53" s="15">
        <v>2</v>
      </c>
      <c r="GE53" s="15">
        <v>4</v>
      </c>
      <c r="GF53" s="15">
        <v>2</v>
      </c>
      <c r="GG53" s="15">
        <v>1</v>
      </c>
      <c r="GH53" s="15">
        <v>2</v>
      </c>
      <c r="GI53" s="15">
        <v>3</v>
      </c>
      <c r="GJ53" s="15">
        <v>3</v>
      </c>
      <c r="GK53" s="15">
        <v>2</v>
      </c>
      <c r="GL53" s="15">
        <v>3</v>
      </c>
      <c r="GM53" s="15">
        <v>3</v>
      </c>
      <c r="GN53" s="15">
        <v>2</v>
      </c>
      <c r="GO53" s="15">
        <v>4</v>
      </c>
      <c r="GP53" s="15">
        <v>1</v>
      </c>
      <c r="GQ53" s="15">
        <v>1</v>
      </c>
      <c r="GR53" s="15">
        <v>1</v>
      </c>
      <c r="GS53" s="15">
        <v>2</v>
      </c>
      <c r="GT53" s="15">
        <v>1</v>
      </c>
      <c r="GU53" s="15">
        <v>3</v>
      </c>
      <c r="GV53" s="15">
        <v>1</v>
      </c>
      <c r="GW53" s="15">
        <v>4</v>
      </c>
      <c r="GX53" s="15">
        <v>5</v>
      </c>
      <c r="GY53" s="15">
        <v>2</v>
      </c>
      <c r="GZ53" s="15">
        <v>2</v>
      </c>
      <c r="HA53" s="15">
        <v>1</v>
      </c>
      <c r="HB53" s="15">
        <v>1</v>
      </c>
      <c r="HC53" s="15">
        <v>5</v>
      </c>
      <c r="HD53" s="15">
        <v>2</v>
      </c>
      <c r="HE53" s="15">
        <v>1</v>
      </c>
      <c r="HF53" s="15">
        <v>1</v>
      </c>
      <c r="HG53" s="15">
        <v>1</v>
      </c>
      <c r="HH53" s="15">
        <v>4</v>
      </c>
      <c r="HI53" s="15">
        <v>5</v>
      </c>
      <c r="HJ53" s="15">
        <v>1</v>
      </c>
      <c r="HK53" s="15">
        <v>1</v>
      </c>
      <c r="HL53" s="15">
        <v>1</v>
      </c>
      <c r="HM53" s="15">
        <v>3</v>
      </c>
      <c r="HN53" s="15">
        <v>2</v>
      </c>
      <c r="HO53" s="15">
        <v>2</v>
      </c>
      <c r="HP53" s="15">
        <v>2</v>
      </c>
      <c r="HQ53" s="15">
        <v>2</v>
      </c>
      <c r="HR53" s="15">
        <v>3</v>
      </c>
      <c r="HS53" s="15">
        <v>5</v>
      </c>
      <c r="HT53" s="15">
        <v>2</v>
      </c>
      <c r="HU53" s="15">
        <v>1</v>
      </c>
      <c r="HV53" s="15">
        <v>2</v>
      </c>
      <c r="HW53" s="15">
        <v>4</v>
      </c>
      <c r="HX53" s="15">
        <v>4.75</v>
      </c>
      <c r="HY53" s="15">
        <v>4.25</v>
      </c>
      <c r="HZ53" s="15">
        <v>4.25</v>
      </c>
      <c r="IA53" s="15">
        <v>3.5</v>
      </c>
      <c r="IB53" s="15">
        <v>4.5</v>
      </c>
      <c r="IC53" s="15">
        <v>2.75</v>
      </c>
      <c r="ID53" s="15">
        <v>1</v>
      </c>
      <c r="IE53" s="15">
        <v>1.25</v>
      </c>
      <c r="IF53" s="15">
        <v>2</v>
      </c>
      <c r="IG53" s="15">
        <v>2.25</v>
      </c>
      <c r="IH53" s="15">
        <v>1.75</v>
      </c>
      <c r="II53" s="15">
        <v>4.5</v>
      </c>
      <c r="IJ53" s="15">
        <v>3</v>
      </c>
      <c r="IK53" s="15">
        <v>3.75</v>
      </c>
      <c r="IL53" s="15">
        <v>2</v>
      </c>
      <c r="IM53" s="15">
        <v>3.25</v>
      </c>
      <c r="IN53" s="15">
        <v>4.25</v>
      </c>
      <c r="IO53" s="15">
        <v>2.75</v>
      </c>
      <c r="IP53" s="15">
        <v>4</v>
      </c>
      <c r="IQ53" s="15">
        <v>3.75</v>
      </c>
      <c r="IR53" s="15">
        <v>4.5</v>
      </c>
      <c r="IS53" s="15">
        <v>3.5</v>
      </c>
      <c r="IT53" s="15">
        <v>3.75</v>
      </c>
      <c r="IU53" s="15">
        <v>4.75</v>
      </c>
      <c r="IV53" s="15">
        <v>5</v>
      </c>
      <c r="IW53" s="15">
        <v>4.75</v>
      </c>
      <c r="IX53" s="15">
        <v>5</v>
      </c>
      <c r="IY53" s="15">
        <v>3.5</v>
      </c>
      <c r="IZ53" s="15">
        <v>4.75</v>
      </c>
    </row>
    <row r="54" spans="1:260" s="12" customFormat="1" x14ac:dyDescent="0.3">
      <c r="A54" s="15">
        <v>56</v>
      </c>
      <c r="B54" s="15" t="s">
        <v>469</v>
      </c>
      <c r="C54" s="16">
        <v>27</v>
      </c>
      <c r="D54" s="15" t="s">
        <v>258</v>
      </c>
      <c r="E54" s="15" t="s">
        <v>259</v>
      </c>
      <c r="F54" s="15" t="s">
        <v>260</v>
      </c>
      <c r="G54" s="15" t="s">
        <v>302</v>
      </c>
      <c r="H54" s="15" t="s">
        <v>269</v>
      </c>
      <c r="I54" s="15" t="s">
        <v>275</v>
      </c>
      <c r="J54" s="15" t="s">
        <v>310</v>
      </c>
      <c r="K54" s="15" t="s">
        <v>265</v>
      </c>
      <c r="L54" s="15" t="s">
        <v>278</v>
      </c>
      <c r="M54" s="15" t="s">
        <v>386</v>
      </c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>
        <f t="shared" si="12"/>
        <v>0</v>
      </c>
      <c r="CL54" s="15"/>
      <c r="CM54" s="15"/>
      <c r="CN54" s="15"/>
      <c r="CO54" s="15"/>
      <c r="CP54" s="15"/>
      <c r="CQ54" s="15"/>
      <c r="CR54" s="15">
        <v>0.3125</v>
      </c>
      <c r="CS54" s="15">
        <v>0.45454545454545453</v>
      </c>
      <c r="CT54" s="15">
        <v>0</v>
      </c>
      <c r="CU54" s="15">
        <v>150</v>
      </c>
      <c r="CV54" s="15">
        <v>500</v>
      </c>
      <c r="CW54" s="15">
        <v>0</v>
      </c>
      <c r="CX54" s="15">
        <v>0.52083333333333337</v>
      </c>
      <c r="CY54" s="15">
        <v>0.78181818181818186</v>
      </c>
      <c r="CZ54" s="15">
        <v>1</v>
      </c>
      <c r="DA54" s="15">
        <v>200</v>
      </c>
      <c r="DB54" s="15">
        <v>960</v>
      </c>
      <c r="DC54" s="15">
        <v>1</v>
      </c>
      <c r="DD54" s="15">
        <v>1</v>
      </c>
      <c r="DE54" s="15">
        <v>0</v>
      </c>
      <c r="DF54" s="15">
        <v>5</v>
      </c>
      <c r="DG54" s="15">
        <v>5</v>
      </c>
      <c r="DH54" s="15">
        <v>4</v>
      </c>
      <c r="DI54" s="15">
        <v>2</v>
      </c>
      <c r="DJ54" s="15">
        <v>4</v>
      </c>
      <c r="DK54" s="15">
        <v>4</v>
      </c>
      <c r="DL54" s="15">
        <v>5</v>
      </c>
      <c r="DM54" s="15">
        <v>3</v>
      </c>
      <c r="DN54" s="15">
        <v>4</v>
      </c>
      <c r="DO54" s="15">
        <v>4</v>
      </c>
      <c r="DP54" s="15">
        <v>5</v>
      </c>
      <c r="DQ54" s="15">
        <v>5</v>
      </c>
      <c r="DR54" s="15">
        <v>5</v>
      </c>
      <c r="DS54" s="15">
        <v>5</v>
      </c>
      <c r="DT54" s="15">
        <v>4</v>
      </c>
      <c r="DU54" s="15">
        <v>1</v>
      </c>
      <c r="DV54" s="15">
        <v>5</v>
      </c>
      <c r="DW54" s="15">
        <v>2</v>
      </c>
      <c r="DX54" s="15">
        <v>5</v>
      </c>
      <c r="DY54" s="15">
        <v>5</v>
      </c>
      <c r="DZ54" s="15">
        <v>5</v>
      </c>
      <c r="EA54" s="15">
        <v>5</v>
      </c>
      <c r="EB54" s="15">
        <v>4</v>
      </c>
      <c r="EC54" s="15">
        <v>2</v>
      </c>
      <c r="ED54" s="15">
        <v>3</v>
      </c>
      <c r="EE54" s="15">
        <v>4</v>
      </c>
      <c r="EF54" s="15">
        <v>5</v>
      </c>
      <c r="EG54" s="15">
        <v>3</v>
      </c>
      <c r="EH54" s="15">
        <v>4</v>
      </c>
      <c r="EI54" s="15">
        <v>5</v>
      </c>
      <c r="EJ54" s="15">
        <v>5</v>
      </c>
      <c r="EK54" s="15">
        <v>4</v>
      </c>
      <c r="EL54" s="15">
        <v>3</v>
      </c>
      <c r="EM54" s="15">
        <v>3</v>
      </c>
      <c r="EN54" s="15">
        <v>3</v>
      </c>
      <c r="EO54" s="15">
        <v>5</v>
      </c>
      <c r="EP54" s="15">
        <v>5</v>
      </c>
      <c r="EQ54" s="15">
        <v>4</v>
      </c>
      <c r="ER54" s="15">
        <v>4</v>
      </c>
      <c r="ES54" s="15">
        <v>5</v>
      </c>
      <c r="ET54" s="15">
        <v>4</v>
      </c>
      <c r="EU54" s="15">
        <v>5</v>
      </c>
      <c r="EV54" s="15">
        <v>5</v>
      </c>
      <c r="EW54" s="15">
        <v>5</v>
      </c>
      <c r="EX54" s="15">
        <v>4</v>
      </c>
      <c r="EY54" s="15">
        <v>3</v>
      </c>
      <c r="EZ54" s="15">
        <v>5</v>
      </c>
      <c r="FA54" s="15">
        <v>5</v>
      </c>
      <c r="FB54" s="15">
        <v>4</v>
      </c>
      <c r="FC54" s="15">
        <v>4</v>
      </c>
      <c r="FD54" s="15">
        <v>5</v>
      </c>
      <c r="FE54" s="15">
        <v>5</v>
      </c>
      <c r="FF54" s="15">
        <v>2</v>
      </c>
      <c r="FG54" s="15">
        <v>3</v>
      </c>
      <c r="FH54" s="15">
        <v>4</v>
      </c>
      <c r="FI54" s="15">
        <v>4</v>
      </c>
      <c r="FJ54" s="15">
        <v>4</v>
      </c>
      <c r="FK54" s="15">
        <v>5</v>
      </c>
      <c r="FL54" s="15">
        <v>5</v>
      </c>
      <c r="FM54" s="15">
        <v>5</v>
      </c>
      <c r="FN54" s="15">
        <v>5</v>
      </c>
      <c r="FO54" s="15">
        <v>2</v>
      </c>
      <c r="FP54" s="15">
        <v>4</v>
      </c>
      <c r="FQ54" s="15">
        <v>3</v>
      </c>
      <c r="FR54" s="15">
        <v>4</v>
      </c>
      <c r="FS54" s="15">
        <v>5</v>
      </c>
      <c r="FT54" s="15">
        <v>4</v>
      </c>
      <c r="FU54" s="15">
        <v>3</v>
      </c>
      <c r="FV54" s="15">
        <v>4</v>
      </c>
      <c r="FW54" s="15">
        <v>4</v>
      </c>
      <c r="FX54" s="15">
        <v>2</v>
      </c>
      <c r="FY54" s="15">
        <v>4</v>
      </c>
      <c r="FZ54" s="15">
        <v>4</v>
      </c>
      <c r="GA54" s="15">
        <v>5</v>
      </c>
      <c r="GB54" s="15">
        <v>5</v>
      </c>
      <c r="GC54" s="15">
        <v>1</v>
      </c>
      <c r="GD54" s="15">
        <v>5</v>
      </c>
      <c r="GE54" s="15">
        <v>3</v>
      </c>
      <c r="GF54" s="15">
        <v>5</v>
      </c>
      <c r="GG54" s="15">
        <v>5</v>
      </c>
      <c r="GH54" s="15">
        <v>4</v>
      </c>
      <c r="GI54" s="15">
        <v>1</v>
      </c>
      <c r="GJ54" s="15">
        <v>4</v>
      </c>
      <c r="GK54" s="15">
        <v>2</v>
      </c>
      <c r="GL54" s="15">
        <v>3</v>
      </c>
      <c r="GM54" s="15">
        <v>4</v>
      </c>
      <c r="GN54" s="15">
        <v>4</v>
      </c>
      <c r="GO54" s="15">
        <v>3</v>
      </c>
      <c r="GP54" s="15">
        <v>1</v>
      </c>
      <c r="GQ54" s="15">
        <v>1</v>
      </c>
      <c r="GR54" s="15">
        <v>3</v>
      </c>
      <c r="GS54" s="15">
        <v>4</v>
      </c>
      <c r="GT54" s="15">
        <v>4</v>
      </c>
      <c r="GU54" s="15">
        <v>5</v>
      </c>
      <c r="GV54" s="15">
        <v>4</v>
      </c>
      <c r="GW54" s="15">
        <v>4</v>
      </c>
      <c r="GX54" s="15">
        <v>2</v>
      </c>
      <c r="GY54" s="15">
        <v>2</v>
      </c>
      <c r="GZ54" s="15">
        <v>3</v>
      </c>
      <c r="HA54" s="15">
        <v>1</v>
      </c>
      <c r="HB54" s="15">
        <v>1</v>
      </c>
      <c r="HC54" s="15">
        <v>2</v>
      </c>
      <c r="HD54" s="15">
        <v>2</v>
      </c>
      <c r="HE54" s="15">
        <v>1</v>
      </c>
      <c r="HF54" s="15">
        <v>1</v>
      </c>
      <c r="HG54" s="15">
        <v>4</v>
      </c>
      <c r="HH54" s="15">
        <v>4</v>
      </c>
      <c r="HI54" s="15">
        <v>3</v>
      </c>
      <c r="HJ54" s="15">
        <v>4</v>
      </c>
      <c r="HK54" s="15">
        <v>3</v>
      </c>
      <c r="HL54" s="15">
        <v>2</v>
      </c>
      <c r="HM54" s="15">
        <v>3</v>
      </c>
      <c r="HN54" s="15">
        <v>4</v>
      </c>
      <c r="HO54" s="15">
        <v>2</v>
      </c>
      <c r="HP54" s="15">
        <v>2</v>
      </c>
      <c r="HQ54" s="15">
        <v>4</v>
      </c>
      <c r="HR54" s="15">
        <v>2</v>
      </c>
      <c r="HS54" s="15">
        <v>3</v>
      </c>
      <c r="HT54" s="15">
        <v>5</v>
      </c>
      <c r="HU54" s="15">
        <v>2</v>
      </c>
      <c r="HV54" s="15">
        <v>4</v>
      </c>
      <c r="HW54" s="15">
        <v>3.75</v>
      </c>
      <c r="HX54" s="15">
        <v>3.5</v>
      </c>
      <c r="HY54" s="15">
        <v>3.75</v>
      </c>
      <c r="HZ54" s="15">
        <v>3.75</v>
      </c>
      <c r="IA54" s="15">
        <v>2.75</v>
      </c>
      <c r="IB54" s="15">
        <v>1.75</v>
      </c>
      <c r="IC54" s="15">
        <v>4.75</v>
      </c>
      <c r="ID54" s="15">
        <v>4.5</v>
      </c>
      <c r="IE54" s="15">
        <v>4.25</v>
      </c>
      <c r="IF54" s="15">
        <v>2.75</v>
      </c>
      <c r="IG54" s="15">
        <v>3.5</v>
      </c>
      <c r="IH54" s="15">
        <v>4</v>
      </c>
      <c r="II54" s="15">
        <v>3.75</v>
      </c>
      <c r="IJ54" s="15">
        <v>4</v>
      </c>
      <c r="IK54" s="15">
        <v>4.5</v>
      </c>
      <c r="IL54" s="15">
        <v>4</v>
      </c>
      <c r="IM54" s="15">
        <v>4.5</v>
      </c>
      <c r="IN54" s="15">
        <v>3.75</v>
      </c>
      <c r="IO54" s="15">
        <v>4</v>
      </c>
      <c r="IP54" s="15">
        <v>3.25</v>
      </c>
      <c r="IQ54" s="15">
        <v>4</v>
      </c>
      <c r="IR54" s="15">
        <v>1.5</v>
      </c>
      <c r="IS54" s="15">
        <v>4</v>
      </c>
      <c r="IT54" s="15">
        <v>3.5</v>
      </c>
      <c r="IU54" s="15">
        <v>2.5</v>
      </c>
      <c r="IV54" s="15">
        <v>2.75</v>
      </c>
      <c r="IW54" s="15">
        <v>4</v>
      </c>
      <c r="IX54" s="15">
        <v>1.75</v>
      </c>
      <c r="IY54" s="15">
        <v>3.5</v>
      </c>
      <c r="IZ54" s="15">
        <v>4.5</v>
      </c>
    </row>
    <row r="55" spans="1:260" s="12" customFormat="1" x14ac:dyDescent="0.3">
      <c r="A55" s="15">
        <v>57</v>
      </c>
      <c r="B55" s="15" t="s">
        <v>469</v>
      </c>
      <c r="C55" s="16">
        <v>28</v>
      </c>
      <c r="D55" s="15" t="s">
        <v>258</v>
      </c>
      <c r="E55" s="15" t="s">
        <v>259</v>
      </c>
      <c r="F55" s="15" t="s">
        <v>260</v>
      </c>
      <c r="G55" s="15" t="s">
        <v>302</v>
      </c>
      <c r="H55" s="15" t="s">
        <v>269</v>
      </c>
      <c r="I55" s="15" t="s">
        <v>275</v>
      </c>
      <c r="J55" s="15" t="s">
        <v>387</v>
      </c>
      <c r="K55" s="15" t="s">
        <v>285</v>
      </c>
      <c r="L55" s="15" t="s">
        <v>388</v>
      </c>
      <c r="M55" s="15" t="s">
        <v>389</v>
      </c>
      <c r="N55" s="15"/>
      <c r="O55" s="15"/>
      <c r="P55" s="15"/>
      <c r="Q55" s="15"/>
      <c r="R55" s="15">
        <f>1/1</f>
        <v>1</v>
      </c>
      <c r="S55" s="15">
        <f>0</f>
        <v>0</v>
      </c>
      <c r="T55" s="15">
        <f>3113.842/1000</f>
        <v>3.113842</v>
      </c>
      <c r="U55" s="15">
        <v>0</v>
      </c>
      <c r="V55" s="15">
        <f>1</f>
        <v>1</v>
      </c>
      <c r="W55" s="15">
        <f>0</f>
        <v>0</v>
      </c>
      <c r="X55" s="15">
        <f>13670.89/1000</f>
        <v>13.67089</v>
      </c>
      <c r="Y55" s="15">
        <f>1.1</f>
        <v>1.1000000000000001</v>
      </c>
      <c r="Z55" s="15">
        <v>4</v>
      </c>
      <c r="AA55" s="15">
        <f>5/5</f>
        <v>1</v>
      </c>
      <c r="AB55" s="15">
        <f>22549.38/1000</f>
        <v>22.549379999999999</v>
      </c>
      <c r="AC55" s="15">
        <f>1.05*4</f>
        <v>4.2</v>
      </c>
      <c r="AD55" s="15">
        <v>0</v>
      </c>
      <c r="AE55" s="15">
        <f>2/2</f>
        <v>1</v>
      </c>
      <c r="AF55" s="15">
        <f>36329.76/1000</f>
        <v>36.32976</v>
      </c>
      <c r="AG55" s="15">
        <f>0</f>
        <v>0</v>
      </c>
      <c r="AH55" s="15">
        <f>1</f>
        <v>1</v>
      </c>
      <c r="AI55" s="15">
        <f>1</f>
        <v>1</v>
      </c>
      <c r="AJ55" s="15">
        <f>5/5</f>
        <v>1</v>
      </c>
      <c r="AK55" s="15">
        <v>28</v>
      </c>
      <c r="AL55" s="15">
        <f>5/8</f>
        <v>0.625</v>
      </c>
      <c r="AM55" s="15"/>
      <c r="AN55" s="15">
        <f>1.1*25+1+1.05+1.35</f>
        <v>30.900000000000006</v>
      </c>
      <c r="AO55" s="15">
        <v>0</v>
      </c>
      <c r="AP55" s="15">
        <f>3/3</f>
        <v>1</v>
      </c>
      <c r="AQ55" s="15">
        <f>12070.44/1000</f>
        <v>12.070440000000001</v>
      </c>
      <c r="AR55" s="15">
        <f>0.23</f>
        <v>0.23</v>
      </c>
      <c r="AS55" s="15">
        <v>0</v>
      </c>
      <c r="AT55" s="15"/>
      <c r="AU55" s="15"/>
      <c r="AV55" s="15"/>
      <c r="AW55" s="15"/>
      <c r="AX55" s="15"/>
      <c r="AY55" s="15"/>
      <c r="AZ55" s="15">
        <v>0</v>
      </c>
      <c r="BA55" s="15">
        <f>2/2</f>
        <v>1</v>
      </c>
      <c r="BB55" s="15">
        <f>8403.312/1000</f>
        <v>8.4033119999999997</v>
      </c>
      <c r="BC55" s="15">
        <v>0</v>
      </c>
      <c r="BD55" s="15">
        <v>0</v>
      </c>
      <c r="BE55" s="15"/>
      <c r="BF55" s="15"/>
      <c r="BG55" s="15">
        <v>1</v>
      </c>
      <c r="BH55" s="15">
        <v>0</v>
      </c>
      <c r="BI55" s="15"/>
      <c r="BJ55" s="15">
        <f>0.3</f>
        <v>0.3</v>
      </c>
      <c r="BK55" s="15">
        <v>0</v>
      </c>
      <c r="BL55" s="15">
        <f>2/2</f>
        <v>1</v>
      </c>
      <c r="BM55" s="15">
        <f>13993.07/1000</f>
        <v>13.993069999999999</v>
      </c>
      <c r="BN55" s="15">
        <f>0.1525</f>
        <v>0.1525</v>
      </c>
      <c r="BO55" s="15"/>
      <c r="BP55" s="15"/>
      <c r="BQ55" s="15"/>
      <c r="BR55" s="15"/>
      <c r="BS55" s="15">
        <v>0</v>
      </c>
      <c r="BT55" s="15">
        <f t="shared" ref="BT55:BT63" si="19">2/2</f>
        <v>1</v>
      </c>
      <c r="BU55" s="15">
        <f>24627.62/1000</f>
        <v>24.62762</v>
      </c>
      <c r="BV55" s="15">
        <v>0</v>
      </c>
      <c r="BW55" s="15">
        <v>0</v>
      </c>
      <c r="BX55" s="15"/>
      <c r="BY55" s="15"/>
      <c r="BZ55" s="15">
        <v>2</v>
      </c>
      <c r="CA55" s="15">
        <v>0</v>
      </c>
      <c r="CB55" s="15"/>
      <c r="CC55" s="15">
        <f>1.05*2</f>
        <v>2.1</v>
      </c>
      <c r="CD55" s="15">
        <v>0</v>
      </c>
      <c r="CE55" s="15">
        <f>2/2</f>
        <v>1</v>
      </c>
      <c r="CF55" s="15">
        <f>19069.57/1000</f>
        <v>19.069569999999999</v>
      </c>
      <c r="CG55" s="15">
        <f>0.0175</f>
        <v>1.7500000000000002E-2</v>
      </c>
      <c r="CH55" s="15">
        <v>1</v>
      </c>
      <c r="CI55" s="15">
        <v>0</v>
      </c>
      <c r="CJ55" s="15">
        <f>6/6</f>
        <v>1</v>
      </c>
      <c r="CK55" s="15">
        <f t="shared" si="12"/>
        <v>153.82788400000001</v>
      </c>
      <c r="CL55" s="15">
        <f>4/8</f>
        <v>0.5</v>
      </c>
      <c r="CM55" s="15">
        <v>2</v>
      </c>
      <c r="CN55" s="15">
        <v>2</v>
      </c>
      <c r="CO55" s="15">
        <f>Table1[[#This Row],[TotalTrapsRisked]]/5</f>
        <v>0.4</v>
      </c>
      <c r="CP55" s="15">
        <v>0</v>
      </c>
      <c r="CQ55" s="15">
        <v>1</v>
      </c>
      <c r="CR55" s="15">
        <v>0.5</v>
      </c>
      <c r="CS55" s="15">
        <v>0.78181818181818186</v>
      </c>
      <c r="CT55" s="15">
        <v>1</v>
      </c>
      <c r="CU55" s="15">
        <v>372</v>
      </c>
      <c r="CV55" s="15">
        <v>960</v>
      </c>
      <c r="CW55" s="15">
        <v>1</v>
      </c>
      <c r="CX55" s="15"/>
      <c r="CY55" s="15"/>
      <c r="CZ55" s="15"/>
      <c r="DA55" s="15"/>
      <c r="DB55" s="15"/>
      <c r="DC55" s="15"/>
      <c r="DD55" s="15">
        <v>0</v>
      </c>
      <c r="DE55" s="15">
        <v>0</v>
      </c>
      <c r="DF55" s="15">
        <v>4</v>
      </c>
      <c r="DG55" s="15">
        <v>2</v>
      </c>
      <c r="DH55" s="15">
        <v>4</v>
      </c>
      <c r="DI55" s="15">
        <v>4</v>
      </c>
      <c r="DJ55" s="15">
        <v>4</v>
      </c>
      <c r="DK55" s="15">
        <v>2</v>
      </c>
      <c r="DL55" s="15">
        <v>2</v>
      </c>
      <c r="DM55" s="15">
        <v>5</v>
      </c>
      <c r="DN55" s="15">
        <v>1</v>
      </c>
      <c r="DO55" s="15">
        <v>3</v>
      </c>
      <c r="DP55" s="15">
        <v>4</v>
      </c>
      <c r="DQ55" s="15">
        <v>3</v>
      </c>
      <c r="DR55" s="15">
        <v>4</v>
      </c>
      <c r="DS55" s="15">
        <v>4</v>
      </c>
      <c r="DT55" s="15">
        <v>5</v>
      </c>
      <c r="DU55" s="15">
        <v>5</v>
      </c>
      <c r="DV55" s="15">
        <v>2</v>
      </c>
      <c r="DW55" s="15">
        <v>3</v>
      </c>
      <c r="DX55" s="15">
        <v>4</v>
      </c>
      <c r="DY55" s="15">
        <v>4</v>
      </c>
      <c r="DZ55" s="15">
        <v>3</v>
      </c>
      <c r="EA55" s="15">
        <v>4</v>
      </c>
      <c r="EB55" s="15">
        <v>4</v>
      </c>
      <c r="EC55" s="15">
        <v>2</v>
      </c>
      <c r="ED55" s="15">
        <v>2</v>
      </c>
      <c r="EE55" s="15">
        <v>4</v>
      </c>
      <c r="EF55" s="15">
        <v>2</v>
      </c>
      <c r="EG55" s="15">
        <v>4</v>
      </c>
      <c r="EH55" s="15">
        <v>4</v>
      </c>
      <c r="EI55" s="15">
        <v>2</v>
      </c>
      <c r="EJ55" s="15">
        <v>4</v>
      </c>
      <c r="EK55" s="15">
        <v>2</v>
      </c>
      <c r="EL55" s="15">
        <v>4</v>
      </c>
      <c r="EM55" s="15">
        <v>4</v>
      </c>
      <c r="EN55" s="15">
        <v>3</v>
      </c>
      <c r="EO55" s="15">
        <v>3</v>
      </c>
      <c r="EP55" s="15">
        <v>2</v>
      </c>
      <c r="EQ55" s="15">
        <v>4</v>
      </c>
      <c r="ER55" s="15">
        <v>2</v>
      </c>
      <c r="ES55" s="15">
        <v>2</v>
      </c>
      <c r="ET55" s="15">
        <v>2</v>
      </c>
      <c r="EU55" s="15">
        <v>5</v>
      </c>
      <c r="EV55" s="15">
        <v>4</v>
      </c>
      <c r="EW55" s="15">
        <v>4</v>
      </c>
      <c r="EX55" s="15">
        <v>5</v>
      </c>
      <c r="EY55" s="15">
        <v>4</v>
      </c>
      <c r="EZ55" s="15">
        <v>1</v>
      </c>
      <c r="FA55" s="15">
        <v>4</v>
      </c>
      <c r="FB55" s="15">
        <v>1</v>
      </c>
      <c r="FC55" s="15">
        <v>4</v>
      </c>
      <c r="FD55" s="15">
        <v>2</v>
      </c>
      <c r="FE55" s="15">
        <v>2</v>
      </c>
      <c r="FF55" s="15">
        <v>1</v>
      </c>
      <c r="FG55" s="15">
        <v>2</v>
      </c>
      <c r="FH55" s="15">
        <v>4</v>
      </c>
      <c r="FI55" s="15">
        <v>4</v>
      </c>
      <c r="FJ55" s="15">
        <v>3</v>
      </c>
      <c r="FK55" s="15">
        <v>3</v>
      </c>
      <c r="FL55" s="15">
        <v>5</v>
      </c>
      <c r="FM55" s="15">
        <v>2</v>
      </c>
      <c r="FN55" s="15">
        <v>4</v>
      </c>
      <c r="FO55" s="15">
        <v>2</v>
      </c>
      <c r="FP55" s="15">
        <v>3</v>
      </c>
      <c r="FQ55" s="15">
        <v>4</v>
      </c>
      <c r="FR55" s="15">
        <v>4</v>
      </c>
      <c r="FS55" s="15">
        <v>2</v>
      </c>
      <c r="FT55" s="15">
        <v>2</v>
      </c>
      <c r="FU55" s="15">
        <v>3</v>
      </c>
      <c r="FV55" s="15">
        <v>4</v>
      </c>
      <c r="FW55" s="15">
        <v>1</v>
      </c>
      <c r="FX55" s="15">
        <v>2</v>
      </c>
      <c r="FY55" s="15">
        <v>4</v>
      </c>
      <c r="FZ55" s="15">
        <v>4</v>
      </c>
      <c r="GA55" s="15">
        <v>2</v>
      </c>
      <c r="GB55" s="15">
        <v>1</v>
      </c>
      <c r="GC55" s="15">
        <v>2</v>
      </c>
      <c r="GD55" s="15">
        <v>4</v>
      </c>
      <c r="GE55" s="15">
        <v>2</v>
      </c>
      <c r="GF55" s="15">
        <v>2</v>
      </c>
      <c r="GG55" s="15">
        <v>2</v>
      </c>
      <c r="GH55" s="15">
        <v>2</v>
      </c>
      <c r="GI55" s="15">
        <v>3</v>
      </c>
      <c r="GJ55" s="15">
        <v>2</v>
      </c>
      <c r="GK55" s="15">
        <v>1</v>
      </c>
      <c r="GL55" s="15">
        <v>3</v>
      </c>
      <c r="GM55" s="15">
        <v>4</v>
      </c>
      <c r="GN55" s="15">
        <v>2</v>
      </c>
      <c r="GO55" s="15">
        <v>4</v>
      </c>
      <c r="GP55" s="15">
        <v>1</v>
      </c>
      <c r="GQ55" s="15">
        <v>1</v>
      </c>
      <c r="GR55" s="15">
        <v>2</v>
      </c>
      <c r="GS55" s="15">
        <v>2</v>
      </c>
      <c r="GT55" s="15">
        <v>4</v>
      </c>
      <c r="GU55" s="15">
        <v>4</v>
      </c>
      <c r="GV55" s="15">
        <v>2</v>
      </c>
      <c r="GW55" s="15">
        <v>4</v>
      </c>
      <c r="GX55" s="15">
        <v>4</v>
      </c>
      <c r="GY55" s="15">
        <v>5</v>
      </c>
      <c r="GZ55" s="15">
        <v>2</v>
      </c>
      <c r="HA55" s="15">
        <v>1</v>
      </c>
      <c r="HB55" s="15">
        <v>1</v>
      </c>
      <c r="HC55" s="15">
        <v>3</v>
      </c>
      <c r="HD55" s="15">
        <v>2</v>
      </c>
      <c r="HE55" s="15">
        <v>1</v>
      </c>
      <c r="HF55" s="15">
        <v>2</v>
      </c>
      <c r="HG55" s="15">
        <v>2</v>
      </c>
      <c r="HH55" s="15">
        <v>2</v>
      </c>
      <c r="HI55" s="15">
        <v>4</v>
      </c>
      <c r="HJ55" s="15">
        <v>2</v>
      </c>
      <c r="HK55" s="15">
        <v>1</v>
      </c>
      <c r="HL55" s="15">
        <v>2</v>
      </c>
      <c r="HM55" s="15">
        <v>3</v>
      </c>
      <c r="HN55" s="15">
        <v>2</v>
      </c>
      <c r="HO55" s="15">
        <v>1</v>
      </c>
      <c r="HP55" s="15">
        <v>2</v>
      </c>
      <c r="HQ55" s="15">
        <v>3</v>
      </c>
      <c r="HR55" s="15">
        <v>3</v>
      </c>
      <c r="HS55" s="15">
        <v>4</v>
      </c>
      <c r="HT55" s="15">
        <v>3</v>
      </c>
      <c r="HU55" s="15">
        <v>2</v>
      </c>
      <c r="HV55" s="15">
        <v>1</v>
      </c>
      <c r="HW55" s="15">
        <v>3.75</v>
      </c>
      <c r="HX55" s="15">
        <v>4</v>
      </c>
      <c r="HY55" s="15">
        <v>4.5</v>
      </c>
      <c r="HZ55" s="15">
        <v>4</v>
      </c>
      <c r="IA55" s="15">
        <v>2.75</v>
      </c>
      <c r="IB55" s="15">
        <v>4.25</v>
      </c>
      <c r="IC55" s="15">
        <v>3.5</v>
      </c>
      <c r="ID55" s="15">
        <v>2.25</v>
      </c>
      <c r="IE55" s="15">
        <v>3.25</v>
      </c>
      <c r="IF55" s="15">
        <v>4.25</v>
      </c>
      <c r="IG55" s="15">
        <v>3.25</v>
      </c>
      <c r="IH55" s="15">
        <v>3.25</v>
      </c>
      <c r="II55" s="15">
        <v>2.5</v>
      </c>
      <c r="IJ55" s="15">
        <v>2.25</v>
      </c>
      <c r="IK55" s="15">
        <v>4</v>
      </c>
      <c r="IL55" s="15">
        <v>1.75</v>
      </c>
      <c r="IM55" s="15">
        <v>2.5</v>
      </c>
      <c r="IN55" s="15">
        <v>3.25</v>
      </c>
      <c r="IO55" s="15">
        <v>3.75</v>
      </c>
      <c r="IP55" s="15">
        <v>4</v>
      </c>
      <c r="IQ55" s="15">
        <v>4.25</v>
      </c>
      <c r="IR55" s="15">
        <v>3.25</v>
      </c>
      <c r="IS55" s="15">
        <v>4.75</v>
      </c>
      <c r="IT55" s="15">
        <v>3.75</v>
      </c>
      <c r="IU55" s="15">
        <v>4</v>
      </c>
      <c r="IV55" s="15">
        <v>4.75</v>
      </c>
      <c r="IW55" s="15">
        <v>4.25</v>
      </c>
      <c r="IX55" s="15">
        <v>4</v>
      </c>
      <c r="IY55" s="15">
        <v>3.75</v>
      </c>
      <c r="IZ55" s="15">
        <v>4.5</v>
      </c>
    </row>
    <row r="56" spans="1:260" s="12" customFormat="1" x14ac:dyDescent="0.3">
      <c r="A56" s="15">
        <v>58</v>
      </c>
      <c r="B56" s="15" t="s">
        <v>469</v>
      </c>
      <c r="C56" s="16">
        <v>29</v>
      </c>
      <c r="D56" s="15" t="s">
        <v>258</v>
      </c>
      <c r="E56" s="15" t="s">
        <v>259</v>
      </c>
      <c r="F56" s="15" t="s">
        <v>260</v>
      </c>
      <c r="G56" s="15" t="s">
        <v>302</v>
      </c>
      <c r="H56" s="15" t="s">
        <v>316</v>
      </c>
      <c r="I56" s="15" t="s">
        <v>275</v>
      </c>
      <c r="J56" s="15" t="s">
        <v>310</v>
      </c>
      <c r="K56" s="15" t="s">
        <v>285</v>
      </c>
      <c r="L56" s="15" t="s">
        <v>373</v>
      </c>
      <c r="M56" s="15" t="s">
        <v>390</v>
      </c>
      <c r="N56" s="15"/>
      <c r="O56" s="15"/>
      <c r="P56" s="15"/>
      <c r="Q56" s="15"/>
      <c r="R56" s="15">
        <f>1/1</f>
        <v>1</v>
      </c>
      <c r="S56" s="15">
        <v>0</v>
      </c>
      <c r="T56" s="15">
        <f>3794.271/1000</f>
        <v>3.7942710000000002</v>
      </c>
      <c r="U56" s="15">
        <v>0</v>
      </c>
      <c r="V56" s="15">
        <v>1</v>
      </c>
      <c r="W56" s="15">
        <f>8/8</f>
        <v>1</v>
      </c>
      <c r="X56" s="15">
        <f>20200.47/1000</f>
        <v>20.200470000000003</v>
      </c>
      <c r="Y56" s="15">
        <f>1.0025+0.835</f>
        <v>1.8374999999999999</v>
      </c>
      <c r="Z56" s="15">
        <v>1</v>
      </c>
      <c r="AA56" s="15">
        <f>5/5</f>
        <v>1</v>
      </c>
      <c r="AB56" s="15">
        <f>AVERAGE(12664.99,3794.271)/1000</f>
        <v>8.229630499999999</v>
      </c>
      <c r="AC56" s="15">
        <f>1.05</f>
        <v>1.05</v>
      </c>
      <c r="AD56" s="15">
        <v>0</v>
      </c>
      <c r="AE56" s="15">
        <f>2/2</f>
        <v>1</v>
      </c>
      <c r="AF56" s="15">
        <f>16366.53/1000</f>
        <v>16.366530000000001</v>
      </c>
      <c r="AG56" s="15">
        <v>0</v>
      </c>
      <c r="AH56" s="15">
        <v>2</v>
      </c>
      <c r="AI56" s="15">
        <v>2</v>
      </c>
      <c r="AJ56" s="15">
        <f>5/5</f>
        <v>1</v>
      </c>
      <c r="AK56" s="15">
        <v>6</v>
      </c>
      <c r="AL56" s="15">
        <f>8/8</f>
        <v>1</v>
      </c>
      <c r="AM56" s="15">
        <f>28705.22/1000</f>
        <v>28.705220000000001</v>
      </c>
      <c r="AN56" s="15">
        <f>1.1*4+1+1.05</f>
        <v>6.45</v>
      </c>
      <c r="AO56" s="15"/>
      <c r="AP56" s="15"/>
      <c r="AQ56" s="15"/>
      <c r="AR56" s="15"/>
      <c r="AS56" s="15">
        <v>0</v>
      </c>
      <c r="AT56" s="15"/>
      <c r="AU56" s="15"/>
      <c r="AV56" s="15">
        <f>4</f>
        <v>4</v>
      </c>
      <c r="AW56" s="15">
        <f>4/4</f>
        <v>1</v>
      </c>
      <c r="AX56" s="15">
        <f>AVERAGE(10659.75,7988.258,9257.794,20800.69)/1000</f>
        <v>12.176622999999999</v>
      </c>
      <c r="AY56" s="15">
        <f>1.0025*4</f>
        <v>4.01</v>
      </c>
      <c r="AZ56" s="15"/>
      <c r="BA56" s="15"/>
      <c r="BB56" s="15"/>
      <c r="BC56" s="15"/>
      <c r="BD56" s="15">
        <v>3</v>
      </c>
      <c r="BE56" s="15">
        <v>3</v>
      </c>
      <c r="BF56" s="15">
        <v>0</v>
      </c>
      <c r="BG56" s="15">
        <v>0</v>
      </c>
      <c r="BH56" s="15">
        <f>5/5</f>
        <v>1</v>
      </c>
      <c r="BI56" s="15">
        <f>38662.08/1000</f>
        <v>38.662080000000003</v>
      </c>
      <c r="BJ56" s="15">
        <v>0.75</v>
      </c>
      <c r="BK56" s="15"/>
      <c r="BL56" s="15"/>
      <c r="BM56" s="15"/>
      <c r="BN56" s="15"/>
      <c r="BO56" s="15"/>
      <c r="BP56" s="15"/>
      <c r="BQ56" s="15"/>
      <c r="BR56" s="15"/>
      <c r="BS56" s="15">
        <v>0</v>
      </c>
      <c r="BT56" s="15">
        <f t="shared" si="19"/>
        <v>1</v>
      </c>
      <c r="BU56" s="15">
        <f>7698.661/1000</f>
        <v>7.6986610000000004</v>
      </c>
      <c r="BV56" s="15">
        <v>0</v>
      </c>
      <c r="BW56" s="15">
        <v>0</v>
      </c>
      <c r="BX56" s="15"/>
      <c r="BY56" s="15"/>
      <c r="BZ56" s="15">
        <v>22</v>
      </c>
      <c r="CA56" s="15">
        <f>5/5</f>
        <v>1</v>
      </c>
      <c r="CB56" s="15">
        <f>26632.7/1000</f>
        <v>26.6327</v>
      </c>
      <c r="CC56" s="15">
        <f>1.05*22</f>
        <v>23.1</v>
      </c>
      <c r="CD56" s="15">
        <v>0</v>
      </c>
      <c r="CE56" s="15">
        <f>2/2</f>
        <v>1</v>
      </c>
      <c r="CF56" s="15">
        <f>AVERAGE(12679.83,13053.08,12450.69,13184.99,13667.85)/1000</f>
        <v>13.007287999999999</v>
      </c>
      <c r="CG56" s="15">
        <f>0.005+0.0975+0.0025+0.0825</f>
        <v>0.1875</v>
      </c>
      <c r="CH56" s="15">
        <v>6</v>
      </c>
      <c r="CI56" s="15">
        <v>5</v>
      </c>
      <c r="CJ56" s="15">
        <f>6/6</f>
        <v>1</v>
      </c>
      <c r="CK56" s="15">
        <f t="shared" si="12"/>
        <v>175.47347349999998</v>
      </c>
      <c r="CL56" s="15">
        <f>6/8</f>
        <v>0.75</v>
      </c>
      <c r="CM56" s="15">
        <v>2</v>
      </c>
      <c r="CN56" s="15">
        <v>3</v>
      </c>
      <c r="CO56" s="15">
        <f>Table1[[#This Row],[TotalTrapsRisked]]/5</f>
        <v>0.6</v>
      </c>
      <c r="CP56" s="15">
        <v>1</v>
      </c>
      <c r="CQ56" s="15">
        <v>1</v>
      </c>
      <c r="CR56" s="15">
        <v>1</v>
      </c>
      <c r="CS56" s="15">
        <v>1</v>
      </c>
      <c r="CT56" s="15">
        <v>2</v>
      </c>
      <c r="CU56" s="15">
        <v>319</v>
      </c>
      <c r="CV56" s="15">
        <v>1300</v>
      </c>
      <c r="CW56" s="15">
        <v>2</v>
      </c>
      <c r="CX56" s="15">
        <v>1</v>
      </c>
      <c r="CY56" s="15">
        <v>1</v>
      </c>
      <c r="CZ56" s="15">
        <v>3</v>
      </c>
      <c r="DA56" s="15">
        <v>267</v>
      </c>
      <c r="DB56" s="15">
        <v>1400</v>
      </c>
      <c r="DC56" s="15">
        <v>3</v>
      </c>
      <c r="DD56" s="15">
        <v>1</v>
      </c>
      <c r="DE56" s="15">
        <v>0</v>
      </c>
      <c r="DF56" s="15">
        <v>4</v>
      </c>
      <c r="DG56" s="15">
        <v>3</v>
      </c>
      <c r="DH56" s="15">
        <v>4</v>
      </c>
      <c r="DI56" s="15">
        <v>4</v>
      </c>
      <c r="DJ56" s="15">
        <v>4</v>
      </c>
      <c r="DK56" s="15">
        <v>2</v>
      </c>
      <c r="DL56" s="15">
        <v>3</v>
      </c>
      <c r="DM56" s="15">
        <v>4</v>
      </c>
      <c r="DN56" s="15">
        <v>1</v>
      </c>
      <c r="DO56" s="15">
        <v>3</v>
      </c>
      <c r="DP56" s="15">
        <v>2</v>
      </c>
      <c r="DQ56" s="15">
        <v>3</v>
      </c>
      <c r="DR56" s="15">
        <v>3</v>
      </c>
      <c r="DS56" s="15">
        <v>4</v>
      </c>
      <c r="DT56" s="15">
        <v>4</v>
      </c>
      <c r="DU56" s="15">
        <v>3</v>
      </c>
      <c r="DV56" s="15">
        <v>4</v>
      </c>
      <c r="DW56" s="15">
        <v>2</v>
      </c>
      <c r="DX56" s="15">
        <v>1</v>
      </c>
      <c r="DY56" s="15">
        <v>3</v>
      </c>
      <c r="DZ56" s="15">
        <v>1</v>
      </c>
      <c r="EA56" s="15">
        <v>4</v>
      </c>
      <c r="EB56" s="15">
        <v>4</v>
      </c>
      <c r="EC56" s="15">
        <v>1</v>
      </c>
      <c r="ED56" s="15">
        <v>3</v>
      </c>
      <c r="EE56" s="15">
        <v>3</v>
      </c>
      <c r="EF56" s="15">
        <v>3</v>
      </c>
      <c r="EG56" s="15">
        <v>3</v>
      </c>
      <c r="EH56" s="15">
        <v>4</v>
      </c>
      <c r="EI56" s="15">
        <v>2</v>
      </c>
      <c r="EJ56" s="15">
        <v>4</v>
      </c>
      <c r="EK56" s="15">
        <v>3</v>
      </c>
      <c r="EL56" s="15">
        <v>4</v>
      </c>
      <c r="EM56" s="15">
        <v>4</v>
      </c>
      <c r="EN56" s="15">
        <v>2</v>
      </c>
      <c r="EO56" s="15">
        <v>2</v>
      </c>
      <c r="EP56" s="15">
        <v>2</v>
      </c>
      <c r="EQ56" s="15">
        <v>4</v>
      </c>
      <c r="ER56" s="15">
        <v>1</v>
      </c>
      <c r="ES56" s="15">
        <v>2</v>
      </c>
      <c r="ET56" s="15">
        <v>2</v>
      </c>
      <c r="EU56" s="15">
        <v>2</v>
      </c>
      <c r="EV56" s="15">
        <v>3</v>
      </c>
      <c r="EW56" s="15">
        <v>4</v>
      </c>
      <c r="EX56" s="15">
        <v>4</v>
      </c>
      <c r="EY56" s="15">
        <v>2</v>
      </c>
      <c r="EZ56" s="15">
        <v>1</v>
      </c>
      <c r="FA56" s="15">
        <v>4</v>
      </c>
      <c r="FB56" s="15">
        <v>1</v>
      </c>
      <c r="FC56" s="15">
        <v>3</v>
      </c>
      <c r="FD56" s="15">
        <v>2</v>
      </c>
      <c r="FE56" s="15">
        <v>2</v>
      </c>
      <c r="FF56" s="15">
        <v>3</v>
      </c>
      <c r="FG56" s="15">
        <v>2</v>
      </c>
      <c r="FH56" s="15">
        <v>4</v>
      </c>
      <c r="FI56" s="15">
        <v>3</v>
      </c>
      <c r="FJ56" s="15">
        <v>4</v>
      </c>
      <c r="FK56" s="15">
        <v>2</v>
      </c>
      <c r="FL56" s="15">
        <v>4</v>
      </c>
      <c r="FM56" s="15">
        <v>3</v>
      </c>
      <c r="FN56" s="15">
        <v>4</v>
      </c>
      <c r="FO56" s="15">
        <v>2</v>
      </c>
      <c r="FP56" s="15">
        <v>4</v>
      </c>
      <c r="FQ56" s="15">
        <v>4</v>
      </c>
      <c r="FR56" s="15">
        <v>3</v>
      </c>
      <c r="FS56" s="15">
        <v>2</v>
      </c>
      <c r="FT56" s="15">
        <v>2</v>
      </c>
      <c r="FU56" s="15">
        <v>2</v>
      </c>
      <c r="FV56" s="15">
        <v>4</v>
      </c>
      <c r="FW56" s="15">
        <v>1</v>
      </c>
      <c r="FX56" s="15">
        <v>4</v>
      </c>
      <c r="FY56" s="15">
        <v>3</v>
      </c>
      <c r="FZ56" s="15">
        <v>3</v>
      </c>
      <c r="GA56" s="15">
        <v>2</v>
      </c>
      <c r="GB56" s="15">
        <v>2</v>
      </c>
      <c r="GC56" s="15">
        <v>1</v>
      </c>
      <c r="GD56" s="15">
        <v>2</v>
      </c>
      <c r="GE56" s="15">
        <v>4</v>
      </c>
      <c r="GF56" s="15">
        <v>4</v>
      </c>
      <c r="GG56" s="15">
        <v>1</v>
      </c>
      <c r="GH56" s="15">
        <v>2</v>
      </c>
      <c r="GI56" s="15">
        <v>2</v>
      </c>
      <c r="GJ56" s="15">
        <v>1</v>
      </c>
      <c r="GK56" s="15">
        <v>3</v>
      </c>
      <c r="GL56" s="15">
        <v>2</v>
      </c>
      <c r="GM56" s="15">
        <v>4</v>
      </c>
      <c r="GN56" s="15">
        <v>3</v>
      </c>
      <c r="GO56" s="15">
        <v>4</v>
      </c>
      <c r="GP56" s="15">
        <v>3</v>
      </c>
      <c r="GQ56" s="15">
        <v>2</v>
      </c>
      <c r="GR56" s="15">
        <v>2</v>
      </c>
      <c r="GS56" s="15">
        <v>4</v>
      </c>
      <c r="GT56" s="15">
        <v>2</v>
      </c>
      <c r="GU56" s="15">
        <v>4</v>
      </c>
      <c r="GV56" s="15">
        <v>2</v>
      </c>
      <c r="GW56" s="15">
        <v>3</v>
      </c>
      <c r="GX56" s="15">
        <v>4</v>
      </c>
      <c r="GY56" s="15">
        <v>4</v>
      </c>
      <c r="GZ56" s="15">
        <v>2</v>
      </c>
      <c r="HA56" s="15">
        <v>2</v>
      </c>
      <c r="HB56" s="15">
        <v>2</v>
      </c>
      <c r="HC56" s="15">
        <v>3</v>
      </c>
      <c r="HD56" s="15">
        <v>4</v>
      </c>
      <c r="HE56" s="15">
        <v>2</v>
      </c>
      <c r="HF56" s="15">
        <v>2</v>
      </c>
      <c r="HG56" s="15">
        <v>2</v>
      </c>
      <c r="HH56" s="15">
        <v>2</v>
      </c>
      <c r="HI56" s="15">
        <v>5</v>
      </c>
      <c r="HJ56" s="15">
        <v>3</v>
      </c>
      <c r="HK56" s="15">
        <v>2</v>
      </c>
      <c r="HL56" s="15">
        <v>3</v>
      </c>
      <c r="HM56" s="15">
        <v>4</v>
      </c>
      <c r="HN56" s="15">
        <v>1</v>
      </c>
      <c r="HO56" s="15">
        <v>2</v>
      </c>
      <c r="HP56" s="15">
        <v>2</v>
      </c>
      <c r="HQ56" s="15">
        <v>4</v>
      </c>
      <c r="HR56" s="15">
        <v>2</v>
      </c>
      <c r="HS56" s="15">
        <v>4</v>
      </c>
      <c r="HT56" s="15">
        <v>3</v>
      </c>
      <c r="HU56" s="15">
        <v>2</v>
      </c>
      <c r="HV56" s="15">
        <v>2</v>
      </c>
      <c r="HW56" s="15">
        <v>3</v>
      </c>
      <c r="HX56" s="15">
        <v>3.25</v>
      </c>
      <c r="HY56" s="15">
        <v>4.25</v>
      </c>
      <c r="HZ56" s="15">
        <v>3.25</v>
      </c>
      <c r="IA56" s="15">
        <v>2.75</v>
      </c>
      <c r="IB56" s="15">
        <v>3.75</v>
      </c>
      <c r="IC56" s="15">
        <v>4</v>
      </c>
      <c r="ID56" s="15">
        <v>2</v>
      </c>
      <c r="IE56" s="15">
        <v>2.5</v>
      </c>
      <c r="IF56" s="15">
        <v>2.75</v>
      </c>
      <c r="IG56" s="15">
        <v>2.75</v>
      </c>
      <c r="IH56" s="15">
        <v>3.25</v>
      </c>
      <c r="II56" s="15">
        <v>3.5</v>
      </c>
      <c r="IJ56" s="15">
        <v>2.75</v>
      </c>
      <c r="IK56" s="15">
        <v>2.5</v>
      </c>
      <c r="IL56" s="15">
        <v>2.5</v>
      </c>
      <c r="IM56" s="15">
        <v>2</v>
      </c>
      <c r="IN56" s="15">
        <v>3.75</v>
      </c>
      <c r="IO56" s="15">
        <v>4</v>
      </c>
      <c r="IP56" s="15">
        <v>4</v>
      </c>
      <c r="IQ56" s="15">
        <v>3.5</v>
      </c>
      <c r="IR56" s="15">
        <v>2.25</v>
      </c>
      <c r="IS56" s="15">
        <v>3.5</v>
      </c>
      <c r="IT56" s="15">
        <v>2.75</v>
      </c>
      <c r="IU56" s="15">
        <v>4</v>
      </c>
      <c r="IV56" s="15">
        <v>4.75</v>
      </c>
      <c r="IW56" s="15">
        <v>4</v>
      </c>
      <c r="IX56" s="15">
        <v>4.75</v>
      </c>
      <c r="IY56" s="15">
        <v>4.25</v>
      </c>
      <c r="IZ56" s="15">
        <v>4</v>
      </c>
    </row>
    <row r="57" spans="1:260" s="12" customFormat="1" x14ac:dyDescent="0.3">
      <c r="A57" s="15">
        <v>59</v>
      </c>
      <c r="B57" s="15" t="s">
        <v>469</v>
      </c>
      <c r="C57" s="16">
        <v>19</v>
      </c>
      <c r="D57" s="15" t="s">
        <v>258</v>
      </c>
      <c r="E57" s="15" t="s">
        <v>259</v>
      </c>
      <c r="F57" s="15" t="s">
        <v>260</v>
      </c>
      <c r="G57" s="15" t="s">
        <v>353</v>
      </c>
      <c r="H57" s="15" t="s">
        <v>269</v>
      </c>
      <c r="I57" s="15" t="s">
        <v>280</v>
      </c>
      <c r="J57" s="15" t="s">
        <v>280</v>
      </c>
      <c r="K57" s="15" t="s">
        <v>277</v>
      </c>
      <c r="L57" s="15" t="s">
        <v>278</v>
      </c>
      <c r="M57" s="15" t="s">
        <v>391</v>
      </c>
      <c r="N57" s="15"/>
      <c r="O57" s="15"/>
      <c r="P57" s="15"/>
      <c r="Q57" s="15"/>
      <c r="R57" s="15">
        <f>1/1</f>
        <v>1</v>
      </c>
      <c r="S57" s="15">
        <v>0</v>
      </c>
      <c r="T57" s="15">
        <f>3627.233/1000</f>
        <v>3.6272330000000004</v>
      </c>
      <c r="U57" s="15">
        <f>0</f>
        <v>0</v>
      </c>
      <c r="V57" s="15">
        <v>0</v>
      </c>
      <c r="W57" s="15">
        <v>0</v>
      </c>
      <c r="X57" s="15">
        <f>8551.222/1000</f>
        <v>8.5512219999999992</v>
      </c>
      <c r="Y57" s="15">
        <v>0</v>
      </c>
      <c r="Z57" s="15"/>
      <c r="AA57" s="15"/>
      <c r="AB57" s="15"/>
      <c r="AC57" s="15"/>
      <c r="AD57" s="15">
        <v>0</v>
      </c>
      <c r="AE57" s="15">
        <f>2/2</f>
        <v>1</v>
      </c>
      <c r="AF57" s="15">
        <f>16437.761/1000</f>
        <v>16.437760999999998</v>
      </c>
      <c r="AG57" s="15">
        <v>0</v>
      </c>
      <c r="AH57" s="15">
        <v>0</v>
      </c>
      <c r="AI57" s="15"/>
      <c r="AJ57" s="15"/>
      <c r="AK57" s="15">
        <v>12</v>
      </c>
      <c r="AL57" s="15">
        <f>8/8</f>
        <v>1</v>
      </c>
      <c r="AM57" s="15">
        <f>19860.43/1000</f>
        <v>19.860430000000001</v>
      </c>
      <c r="AN57" s="15">
        <f>1.1*11+1.05+0.1</f>
        <v>13.250000000000002</v>
      </c>
      <c r="AO57" s="15"/>
      <c r="AP57" s="15"/>
      <c r="AQ57" s="15"/>
      <c r="AR57" s="15"/>
      <c r="AS57" s="15">
        <v>0</v>
      </c>
      <c r="AT57" s="15"/>
      <c r="AU57" s="15"/>
      <c r="AV57" s="15"/>
      <c r="AW57" s="15"/>
      <c r="AX57" s="15"/>
      <c r="AY57" s="15"/>
      <c r="AZ57" s="15">
        <v>0</v>
      </c>
      <c r="BA57" s="15">
        <f>2/2</f>
        <v>1</v>
      </c>
      <c r="BB57" s="15">
        <f>5256.153/1000</f>
        <v>5.2561530000000003</v>
      </c>
      <c r="BC57" s="15">
        <f>0</f>
        <v>0</v>
      </c>
      <c r="BD57" s="15">
        <v>0</v>
      </c>
      <c r="BE57" s="15"/>
      <c r="BF57" s="15"/>
      <c r="BG57" s="15">
        <v>0</v>
      </c>
      <c r="BH57" s="15">
        <f>5/5</f>
        <v>1</v>
      </c>
      <c r="BI57" s="15">
        <f>55502.337/1000</f>
        <v>55.502336999999997</v>
      </c>
      <c r="BJ57" s="15">
        <f>0.75</f>
        <v>0.75</v>
      </c>
      <c r="BK57" s="15"/>
      <c r="BL57" s="15"/>
      <c r="BM57" s="15"/>
      <c r="BN57" s="15"/>
      <c r="BO57" s="15"/>
      <c r="BP57" s="15"/>
      <c r="BQ57" s="15"/>
      <c r="BR57" s="15"/>
      <c r="BS57" s="15">
        <v>0</v>
      </c>
      <c r="BT57" s="15">
        <f t="shared" si="19"/>
        <v>1</v>
      </c>
      <c r="BU57" s="15">
        <f>8332.604/1000</f>
        <v>8.3326039999999999</v>
      </c>
      <c r="BV57" s="15">
        <v>0</v>
      </c>
      <c r="BW57" s="15">
        <v>0</v>
      </c>
      <c r="BX57" s="15"/>
      <c r="BY57" s="15"/>
      <c r="BZ57" s="15"/>
      <c r="CA57" s="15"/>
      <c r="CB57" s="15"/>
      <c r="CC57" s="15"/>
      <c r="CD57" s="15">
        <v>0</v>
      </c>
      <c r="CE57" s="15">
        <f>2/2</f>
        <v>1</v>
      </c>
      <c r="CF57" s="15">
        <f>11651.041/1000</f>
        <v>11.651040999999999</v>
      </c>
      <c r="CG57" s="15">
        <f>0.0275</f>
        <v>2.75E-2</v>
      </c>
      <c r="CH57" s="15">
        <v>0</v>
      </c>
      <c r="CI57" s="15"/>
      <c r="CJ57" s="15"/>
      <c r="CK57" s="15">
        <f t="shared" si="12"/>
        <v>129.21878100000001</v>
      </c>
      <c r="CL57" s="15">
        <f>3/8</f>
        <v>0.375</v>
      </c>
      <c r="CM57" s="15">
        <v>2</v>
      </c>
      <c r="CN57" s="15">
        <v>0</v>
      </c>
      <c r="CO57" s="15">
        <f>Table1[[#This Row],[TotalTrapsRisked]]/5</f>
        <v>0</v>
      </c>
      <c r="CP57" s="15">
        <v>0</v>
      </c>
      <c r="CQ57" s="15">
        <v>1</v>
      </c>
      <c r="CR57" s="15">
        <v>1</v>
      </c>
      <c r="CS57" s="15">
        <v>1</v>
      </c>
      <c r="CT57" s="15">
        <v>2</v>
      </c>
      <c r="CU57" s="15">
        <v>388</v>
      </c>
      <c r="CV57" s="15">
        <v>1300</v>
      </c>
      <c r="CW57" s="15">
        <v>2</v>
      </c>
      <c r="CX57" s="15">
        <v>1</v>
      </c>
      <c r="CY57" s="15">
        <v>1</v>
      </c>
      <c r="CZ57" s="15">
        <v>3</v>
      </c>
      <c r="DA57" s="15">
        <v>317</v>
      </c>
      <c r="DB57" s="15">
        <v>1400</v>
      </c>
      <c r="DC57" s="15">
        <v>3</v>
      </c>
      <c r="DD57" s="15">
        <v>1</v>
      </c>
      <c r="DE57" s="15">
        <v>0</v>
      </c>
      <c r="DF57" s="15">
        <v>4</v>
      </c>
      <c r="DG57" s="15">
        <v>3</v>
      </c>
      <c r="DH57" s="15">
        <v>3</v>
      </c>
      <c r="DI57" s="15">
        <v>5</v>
      </c>
      <c r="DJ57" s="15">
        <v>4</v>
      </c>
      <c r="DK57" s="15">
        <v>3</v>
      </c>
      <c r="DL57" s="15">
        <v>3</v>
      </c>
      <c r="DM57" s="15">
        <v>3</v>
      </c>
      <c r="DN57" s="15">
        <v>3</v>
      </c>
      <c r="DO57" s="15">
        <v>2</v>
      </c>
      <c r="DP57" s="15">
        <v>2</v>
      </c>
      <c r="DQ57" s="15">
        <v>3</v>
      </c>
      <c r="DR57" s="15">
        <v>2</v>
      </c>
      <c r="DS57" s="15">
        <v>4</v>
      </c>
      <c r="DT57" s="15">
        <v>4</v>
      </c>
      <c r="DU57" s="15">
        <v>4</v>
      </c>
      <c r="DV57" s="15">
        <v>3</v>
      </c>
      <c r="DW57" s="15">
        <v>2</v>
      </c>
      <c r="DX57" s="15">
        <v>3</v>
      </c>
      <c r="DY57" s="15">
        <v>4</v>
      </c>
      <c r="DZ57" s="15">
        <v>2</v>
      </c>
      <c r="EA57" s="15">
        <v>4</v>
      </c>
      <c r="EB57" s="15">
        <v>2</v>
      </c>
      <c r="EC57" s="15">
        <v>3</v>
      </c>
      <c r="ED57" s="15">
        <v>2</v>
      </c>
      <c r="EE57" s="15">
        <v>3</v>
      </c>
      <c r="EF57" s="15">
        <v>4</v>
      </c>
      <c r="EG57" s="15">
        <v>3</v>
      </c>
      <c r="EH57" s="15">
        <v>3</v>
      </c>
      <c r="EI57" s="15">
        <v>3</v>
      </c>
      <c r="EJ57" s="15">
        <v>4</v>
      </c>
      <c r="EK57" s="15">
        <v>3</v>
      </c>
      <c r="EL57" s="15">
        <v>3</v>
      </c>
      <c r="EM57" s="15">
        <v>4</v>
      </c>
      <c r="EN57" s="15">
        <v>3</v>
      </c>
      <c r="EO57" s="15">
        <v>2</v>
      </c>
      <c r="EP57" s="15">
        <v>3</v>
      </c>
      <c r="EQ57" s="15">
        <v>4</v>
      </c>
      <c r="ER57" s="15">
        <v>2</v>
      </c>
      <c r="ES57" s="15">
        <v>3</v>
      </c>
      <c r="ET57" s="15">
        <v>2</v>
      </c>
      <c r="EU57" s="15">
        <v>2</v>
      </c>
      <c r="EV57" s="15">
        <v>4</v>
      </c>
      <c r="EW57" s="15">
        <v>4</v>
      </c>
      <c r="EX57" s="15">
        <v>3</v>
      </c>
      <c r="EY57" s="15">
        <v>4</v>
      </c>
      <c r="EZ57" s="15">
        <v>2</v>
      </c>
      <c r="FA57" s="15">
        <v>2</v>
      </c>
      <c r="FB57" s="15">
        <v>1</v>
      </c>
      <c r="FC57" s="15">
        <v>3</v>
      </c>
      <c r="FD57" s="15">
        <v>4</v>
      </c>
      <c r="FE57" s="15">
        <v>4</v>
      </c>
      <c r="FF57" s="15">
        <v>1</v>
      </c>
      <c r="FG57" s="15">
        <v>3</v>
      </c>
      <c r="FH57" s="15">
        <v>4</v>
      </c>
      <c r="FI57" s="15">
        <v>3</v>
      </c>
      <c r="FJ57" s="15">
        <v>4</v>
      </c>
      <c r="FK57" s="15">
        <v>5</v>
      </c>
      <c r="FL57" s="15">
        <v>3</v>
      </c>
      <c r="FM57" s="15">
        <v>2</v>
      </c>
      <c r="FN57" s="15">
        <v>3</v>
      </c>
      <c r="FO57" s="15">
        <v>3</v>
      </c>
      <c r="FP57" s="15">
        <v>4</v>
      </c>
      <c r="FQ57" s="15">
        <v>4</v>
      </c>
      <c r="FR57" s="15">
        <v>3</v>
      </c>
      <c r="FS57" s="15">
        <v>2</v>
      </c>
      <c r="FT57" s="15">
        <v>4</v>
      </c>
      <c r="FU57" s="15">
        <v>3</v>
      </c>
      <c r="FV57" s="15">
        <v>4</v>
      </c>
      <c r="FW57" s="15">
        <v>2</v>
      </c>
      <c r="FX57" s="15">
        <v>4</v>
      </c>
      <c r="FY57" s="15">
        <v>2</v>
      </c>
      <c r="FZ57" s="15">
        <v>3</v>
      </c>
      <c r="GA57" s="15">
        <v>3</v>
      </c>
      <c r="GB57" s="15">
        <v>2</v>
      </c>
      <c r="GC57" s="15">
        <v>3</v>
      </c>
      <c r="GD57" s="15">
        <v>3</v>
      </c>
      <c r="GE57" s="15">
        <v>3</v>
      </c>
      <c r="GF57" s="15">
        <v>2</v>
      </c>
      <c r="GG57" s="15">
        <v>2</v>
      </c>
      <c r="GH57" s="15">
        <v>1</v>
      </c>
      <c r="GI57" s="15">
        <v>2</v>
      </c>
      <c r="GJ57" s="15">
        <v>4</v>
      </c>
      <c r="GK57" s="15">
        <v>2</v>
      </c>
      <c r="GL57" s="15">
        <v>3</v>
      </c>
      <c r="GM57" s="15">
        <v>3</v>
      </c>
      <c r="GN57" s="15">
        <v>3</v>
      </c>
      <c r="GO57" s="15">
        <v>4</v>
      </c>
      <c r="GP57" s="15">
        <v>3</v>
      </c>
      <c r="GQ57" s="15">
        <v>3</v>
      </c>
      <c r="GR57" s="15">
        <v>3</v>
      </c>
      <c r="GS57" s="15">
        <v>2</v>
      </c>
      <c r="GT57" s="15">
        <v>2</v>
      </c>
      <c r="GU57" s="15">
        <v>3</v>
      </c>
      <c r="GV57" s="15">
        <v>2</v>
      </c>
      <c r="GW57" s="15">
        <v>4</v>
      </c>
      <c r="GX57" s="15">
        <v>4</v>
      </c>
      <c r="GY57" s="15">
        <v>3</v>
      </c>
      <c r="GZ57" s="15">
        <v>4</v>
      </c>
      <c r="HA57" s="15">
        <v>2</v>
      </c>
      <c r="HB57" s="15">
        <v>4</v>
      </c>
      <c r="HC57" s="15">
        <v>4</v>
      </c>
      <c r="HD57" s="15">
        <v>4</v>
      </c>
      <c r="HE57" s="15">
        <v>2</v>
      </c>
      <c r="HF57" s="15">
        <v>3</v>
      </c>
      <c r="HG57" s="15">
        <v>2</v>
      </c>
      <c r="HH57" s="15">
        <v>3</v>
      </c>
      <c r="HI57" s="15">
        <v>4</v>
      </c>
      <c r="HJ57" s="15">
        <v>2</v>
      </c>
      <c r="HK57" s="15">
        <v>2</v>
      </c>
      <c r="HL57" s="15">
        <v>3</v>
      </c>
      <c r="HM57" s="15">
        <v>3</v>
      </c>
      <c r="HN57" s="15">
        <v>2</v>
      </c>
      <c r="HO57" s="15">
        <v>1</v>
      </c>
      <c r="HP57" s="15">
        <v>3</v>
      </c>
      <c r="HQ57" s="15">
        <v>3</v>
      </c>
      <c r="HR57" s="15">
        <v>3</v>
      </c>
      <c r="HS57" s="15">
        <v>4</v>
      </c>
      <c r="HT57" s="15">
        <v>3</v>
      </c>
      <c r="HU57" s="15">
        <v>5</v>
      </c>
      <c r="HV57" s="15">
        <v>2</v>
      </c>
      <c r="HW57" s="15">
        <v>3.5</v>
      </c>
      <c r="HX57" s="15">
        <v>2.25</v>
      </c>
      <c r="HY57" s="15">
        <v>3.5</v>
      </c>
      <c r="HZ57" s="15">
        <v>3.75</v>
      </c>
      <c r="IA57" s="15">
        <v>3</v>
      </c>
      <c r="IB57" s="15">
        <v>3.5</v>
      </c>
      <c r="IC57" s="15">
        <v>3.25</v>
      </c>
      <c r="ID57" s="15">
        <v>2.25</v>
      </c>
      <c r="IE57" s="15">
        <v>2</v>
      </c>
      <c r="IF57" s="15">
        <v>3.5</v>
      </c>
      <c r="IG57" s="15">
        <v>2.75</v>
      </c>
      <c r="IH57" s="15">
        <v>3</v>
      </c>
      <c r="II57" s="15">
        <v>3.25</v>
      </c>
      <c r="IJ57" s="15">
        <v>2.75</v>
      </c>
      <c r="IK57" s="15">
        <v>2.5</v>
      </c>
      <c r="IL57" s="15">
        <v>2.5</v>
      </c>
      <c r="IM57" s="15">
        <v>3.5</v>
      </c>
      <c r="IN57" s="15">
        <v>4</v>
      </c>
      <c r="IO57" s="15">
        <v>3.25</v>
      </c>
      <c r="IP57" s="15">
        <v>3</v>
      </c>
      <c r="IQ57" s="15">
        <v>3.25</v>
      </c>
      <c r="IR57" s="15">
        <v>3.5</v>
      </c>
      <c r="IS57" s="15">
        <v>4</v>
      </c>
      <c r="IT57" s="15">
        <v>3.5</v>
      </c>
      <c r="IU57" s="15">
        <v>4.25</v>
      </c>
      <c r="IV57" s="15">
        <v>3.75</v>
      </c>
      <c r="IW57" s="15">
        <v>3.75</v>
      </c>
      <c r="IX57" s="15">
        <v>4</v>
      </c>
      <c r="IY57" s="15">
        <v>3</v>
      </c>
      <c r="IZ57" s="15">
        <v>2.5</v>
      </c>
    </row>
    <row r="58" spans="1:260" s="12" customFormat="1" x14ac:dyDescent="0.3">
      <c r="A58" s="15">
        <v>60</v>
      </c>
      <c r="B58" s="15" t="s">
        <v>469</v>
      </c>
      <c r="C58" s="16">
        <v>19</v>
      </c>
      <c r="D58" s="15" t="s">
        <v>258</v>
      </c>
      <c r="E58" s="15" t="s">
        <v>259</v>
      </c>
      <c r="F58" s="15" t="s">
        <v>260</v>
      </c>
      <c r="G58" s="15" t="s">
        <v>261</v>
      </c>
      <c r="H58" s="15" t="s">
        <v>269</v>
      </c>
      <c r="I58" s="15" t="s">
        <v>280</v>
      </c>
      <c r="J58" s="15" t="s">
        <v>280</v>
      </c>
      <c r="K58" s="15" t="s">
        <v>272</v>
      </c>
      <c r="L58" s="15" t="s">
        <v>314</v>
      </c>
      <c r="M58" s="15" t="s">
        <v>392</v>
      </c>
      <c r="N58" s="15"/>
      <c r="O58" s="15"/>
      <c r="P58" s="15"/>
      <c r="Q58" s="15"/>
      <c r="R58" s="15">
        <f>1/1</f>
        <v>1</v>
      </c>
      <c r="S58" s="15">
        <v>0</v>
      </c>
      <c r="T58" s="15">
        <f>8865.821/1000</f>
        <v>8.8658210000000004</v>
      </c>
      <c r="U58" s="15">
        <v>0</v>
      </c>
      <c r="V58" s="15">
        <v>0</v>
      </c>
      <c r="W58" s="15">
        <f>8/8</f>
        <v>1</v>
      </c>
      <c r="X58" s="15">
        <f>31031.312/1000</f>
        <v>31.031312000000003</v>
      </c>
      <c r="Y58" s="15">
        <f>0.975</f>
        <v>0.97499999999999998</v>
      </c>
      <c r="Z58" s="15">
        <v>3</v>
      </c>
      <c r="AA58" s="15">
        <f>5/5</f>
        <v>1</v>
      </c>
      <c r="AB58" s="15">
        <f>8015.824/1000</f>
        <v>8.0158240000000003</v>
      </c>
      <c r="AC58" s="15">
        <f>1.05*3</f>
        <v>3.1500000000000004</v>
      </c>
      <c r="AD58" s="15">
        <v>0</v>
      </c>
      <c r="AE58" s="15">
        <f>2/2</f>
        <v>1</v>
      </c>
      <c r="AF58" s="15">
        <f>32513.791/1000</f>
        <v>32.513790999999998</v>
      </c>
      <c r="AG58" s="15">
        <v>0</v>
      </c>
      <c r="AH58" s="15">
        <v>2</v>
      </c>
      <c r="AI58" s="15">
        <v>1</v>
      </c>
      <c r="AJ58" s="15">
        <f>5/5</f>
        <v>1</v>
      </c>
      <c r="AK58" s="15">
        <v>10</v>
      </c>
      <c r="AL58" s="15">
        <f>7/8</f>
        <v>0.875</v>
      </c>
      <c r="AM58" s="15">
        <f>21598.528/1000</f>
        <v>21.598527999999998</v>
      </c>
      <c r="AN58" s="15">
        <f>1.1*6+1.35+1.05*3</f>
        <v>11.100000000000001</v>
      </c>
      <c r="AO58" s="15"/>
      <c r="AP58" s="15"/>
      <c r="AQ58" s="15"/>
      <c r="AR58" s="15"/>
      <c r="AS58" s="15">
        <v>0</v>
      </c>
      <c r="AT58" s="15"/>
      <c r="AU58" s="15"/>
      <c r="AV58" s="15">
        <v>2</v>
      </c>
      <c r="AW58" s="15">
        <f>4/4</f>
        <v>1</v>
      </c>
      <c r="AX58" s="15"/>
      <c r="AY58" s="15">
        <f>1.0025+1.0325</f>
        <v>2.0350000000000001</v>
      </c>
      <c r="AZ58" s="15">
        <v>0</v>
      </c>
      <c r="BA58" s="15">
        <f>2/2</f>
        <v>1</v>
      </c>
      <c r="BB58" s="15">
        <f>AVERAGE(7581.14,5500.326)/1000</f>
        <v>6.5407330000000004</v>
      </c>
      <c r="BC58" s="15">
        <v>0</v>
      </c>
      <c r="BD58" s="15">
        <v>1</v>
      </c>
      <c r="BE58" s="15">
        <v>1</v>
      </c>
      <c r="BF58" s="15">
        <f>3/5</f>
        <v>0.6</v>
      </c>
      <c r="BG58" s="15">
        <v>2</v>
      </c>
      <c r="BH58" s="15">
        <f>5/5</f>
        <v>1</v>
      </c>
      <c r="BI58" s="15">
        <f>45432.721/1000</f>
        <v>45.432721000000001</v>
      </c>
      <c r="BJ58" s="15">
        <f>1.05*2</f>
        <v>2.1</v>
      </c>
      <c r="BK58" s="15"/>
      <c r="BL58" s="15"/>
      <c r="BM58" s="15"/>
      <c r="BN58" s="15"/>
      <c r="BO58" s="15"/>
      <c r="BP58" s="15"/>
      <c r="BQ58" s="15"/>
      <c r="BR58" s="15"/>
      <c r="BS58" s="15">
        <v>0</v>
      </c>
      <c r="BT58" s="15">
        <f t="shared" si="19"/>
        <v>1</v>
      </c>
      <c r="BU58" s="15">
        <f>14349.348/1000</f>
        <v>14.349347999999999</v>
      </c>
      <c r="BV58" s="15">
        <v>0</v>
      </c>
      <c r="BW58" s="15">
        <v>0</v>
      </c>
      <c r="BX58" s="15"/>
      <c r="BY58" s="15"/>
      <c r="BZ58" s="15">
        <v>4</v>
      </c>
      <c r="CA58" s="15">
        <f>3/5</f>
        <v>0.6</v>
      </c>
      <c r="CB58" s="15">
        <f>14349.348/1000</f>
        <v>14.349347999999999</v>
      </c>
      <c r="CC58" s="15">
        <f>1.05*5</f>
        <v>5.25</v>
      </c>
      <c r="CD58" s="15">
        <v>0</v>
      </c>
      <c r="CE58" s="15">
        <f>2/2</f>
        <v>1</v>
      </c>
      <c r="CF58" s="15">
        <f>AVERAGE(16152.977,13081.48)/1000</f>
        <v>14.617228500000001</v>
      </c>
      <c r="CG58" s="15">
        <f>0.0125+0.0025</f>
        <v>1.5000000000000001E-2</v>
      </c>
      <c r="CH58" s="15">
        <v>2</v>
      </c>
      <c r="CI58" s="15">
        <v>1</v>
      </c>
      <c r="CJ58" s="15">
        <f>6/6</f>
        <v>1</v>
      </c>
      <c r="CK58" s="15">
        <f t="shared" si="12"/>
        <v>197.31465450000002</v>
      </c>
      <c r="CL58" s="15">
        <f>6/8</f>
        <v>0.75</v>
      </c>
      <c r="CM58" s="15">
        <v>2</v>
      </c>
      <c r="CN58" s="15">
        <v>3</v>
      </c>
      <c r="CO58" s="15">
        <f>Table1[[#This Row],[TotalTrapsRisked]]/5</f>
        <v>0.6</v>
      </c>
      <c r="CP58" s="15">
        <v>1</v>
      </c>
      <c r="CQ58" s="15">
        <v>1</v>
      </c>
      <c r="CR58" s="15">
        <v>1</v>
      </c>
      <c r="CS58" s="15">
        <v>0.98181818181818181</v>
      </c>
      <c r="CT58" s="15">
        <v>3</v>
      </c>
      <c r="CU58" s="15">
        <v>267</v>
      </c>
      <c r="CV58" s="15">
        <v>1380</v>
      </c>
      <c r="CW58" s="15">
        <v>2</v>
      </c>
      <c r="CX58" s="15"/>
      <c r="CY58" s="15"/>
      <c r="CZ58" s="15"/>
      <c r="DA58" s="15"/>
      <c r="DB58" s="15"/>
      <c r="DC58" s="15"/>
      <c r="DD58" s="15">
        <v>0</v>
      </c>
      <c r="DE58" s="15">
        <v>0</v>
      </c>
      <c r="DF58" s="15">
        <v>4</v>
      </c>
      <c r="DG58" s="15">
        <v>3</v>
      </c>
      <c r="DH58" s="15">
        <v>3</v>
      </c>
      <c r="DI58" s="15">
        <v>2</v>
      </c>
      <c r="DJ58" s="15">
        <v>3</v>
      </c>
      <c r="DK58" s="15">
        <v>2</v>
      </c>
      <c r="DL58" s="15">
        <v>2</v>
      </c>
      <c r="DM58" s="15">
        <v>3</v>
      </c>
      <c r="DN58" s="15">
        <v>3</v>
      </c>
      <c r="DO58" s="15">
        <v>2</v>
      </c>
      <c r="DP58" s="15">
        <v>3</v>
      </c>
      <c r="DQ58" s="15">
        <v>3</v>
      </c>
      <c r="DR58" s="15">
        <v>3</v>
      </c>
      <c r="DS58" s="15">
        <v>4</v>
      </c>
      <c r="DT58" s="15">
        <v>3</v>
      </c>
      <c r="DU58" s="15">
        <v>2</v>
      </c>
      <c r="DV58" s="15">
        <v>2</v>
      </c>
      <c r="DW58" s="15">
        <v>3</v>
      </c>
      <c r="DX58" s="15">
        <v>3</v>
      </c>
      <c r="DY58" s="15">
        <v>2</v>
      </c>
      <c r="DZ58" s="15">
        <v>2</v>
      </c>
      <c r="EA58" s="15">
        <v>3</v>
      </c>
      <c r="EB58" s="15">
        <v>4</v>
      </c>
      <c r="EC58" s="15">
        <v>4</v>
      </c>
      <c r="ED58" s="15">
        <v>3</v>
      </c>
      <c r="EE58" s="15">
        <v>2</v>
      </c>
      <c r="EF58" s="15">
        <v>2</v>
      </c>
      <c r="EG58" s="15">
        <v>2</v>
      </c>
      <c r="EH58" s="15">
        <v>4</v>
      </c>
      <c r="EI58" s="15">
        <v>3</v>
      </c>
      <c r="EJ58" s="15">
        <v>4</v>
      </c>
      <c r="EK58" s="15">
        <v>3</v>
      </c>
      <c r="EL58" s="15">
        <v>2</v>
      </c>
      <c r="EM58" s="15">
        <v>3</v>
      </c>
      <c r="EN58" s="15">
        <v>2</v>
      </c>
      <c r="EO58" s="15">
        <v>3</v>
      </c>
      <c r="EP58" s="15">
        <v>3</v>
      </c>
      <c r="EQ58" s="15">
        <v>4</v>
      </c>
      <c r="ER58" s="15">
        <v>2</v>
      </c>
      <c r="ES58" s="15">
        <v>4</v>
      </c>
      <c r="ET58" s="15">
        <v>3</v>
      </c>
      <c r="EU58" s="15">
        <v>3</v>
      </c>
      <c r="EV58" s="15">
        <v>3</v>
      </c>
      <c r="EW58" s="15">
        <v>4</v>
      </c>
      <c r="EX58" s="15">
        <v>3</v>
      </c>
      <c r="EY58" s="15">
        <v>4</v>
      </c>
      <c r="EZ58" s="15">
        <v>3</v>
      </c>
      <c r="FA58" s="15">
        <v>3</v>
      </c>
      <c r="FB58" s="15">
        <v>2</v>
      </c>
      <c r="FC58" s="15">
        <v>3</v>
      </c>
      <c r="FD58" s="15">
        <v>2</v>
      </c>
      <c r="FE58" s="15">
        <v>4</v>
      </c>
      <c r="FF58" s="15">
        <v>3</v>
      </c>
      <c r="FG58" s="15">
        <v>4</v>
      </c>
      <c r="FH58" s="15">
        <v>3</v>
      </c>
      <c r="FI58" s="15">
        <v>2</v>
      </c>
      <c r="FJ58" s="15">
        <v>3</v>
      </c>
      <c r="FK58" s="15">
        <v>4</v>
      </c>
      <c r="FL58" s="15">
        <v>3</v>
      </c>
      <c r="FM58" s="15">
        <v>3</v>
      </c>
      <c r="FN58" s="15">
        <v>3</v>
      </c>
      <c r="FO58" s="15">
        <v>2</v>
      </c>
      <c r="FP58" s="15">
        <v>4</v>
      </c>
      <c r="FQ58" s="15">
        <v>2</v>
      </c>
      <c r="FR58" s="15">
        <v>4</v>
      </c>
      <c r="FS58" s="15">
        <v>3</v>
      </c>
      <c r="FT58" s="15">
        <v>4</v>
      </c>
      <c r="FU58" s="15">
        <v>3</v>
      </c>
      <c r="FV58" s="15">
        <v>4</v>
      </c>
      <c r="FW58" s="15">
        <v>2</v>
      </c>
      <c r="FX58" s="15">
        <v>3</v>
      </c>
      <c r="FY58" s="15">
        <v>3</v>
      </c>
      <c r="FZ58" s="15">
        <v>3</v>
      </c>
      <c r="GA58" s="15">
        <v>2</v>
      </c>
      <c r="GB58" s="15">
        <v>2</v>
      </c>
      <c r="GC58" s="15">
        <v>4</v>
      </c>
      <c r="GD58" s="15">
        <v>1</v>
      </c>
      <c r="GE58" s="15">
        <v>3</v>
      </c>
      <c r="GF58" s="15">
        <v>1</v>
      </c>
      <c r="GG58" s="15">
        <v>3</v>
      </c>
      <c r="GH58" s="15">
        <v>2</v>
      </c>
      <c r="GI58" s="15">
        <v>3</v>
      </c>
      <c r="GJ58" s="15">
        <v>4</v>
      </c>
      <c r="GK58" s="15">
        <v>2</v>
      </c>
      <c r="GL58" s="15">
        <v>4</v>
      </c>
      <c r="GM58" s="15">
        <v>4</v>
      </c>
      <c r="GN58" s="15">
        <v>2</v>
      </c>
      <c r="GO58" s="15">
        <v>5</v>
      </c>
      <c r="GP58" s="15">
        <v>4</v>
      </c>
      <c r="GQ58" s="15">
        <v>3</v>
      </c>
      <c r="GR58" s="15">
        <v>3</v>
      </c>
      <c r="GS58" s="15">
        <v>2</v>
      </c>
      <c r="GT58" s="15">
        <v>2</v>
      </c>
      <c r="GU58" s="15">
        <v>5</v>
      </c>
      <c r="GV58" s="15">
        <v>4</v>
      </c>
      <c r="GW58" s="15">
        <v>3</v>
      </c>
      <c r="GX58" s="15">
        <v>4</v>
      </c>
      <c r="GY58" s="15">
        <v>4</v>
      </c>
      <c r="GZ58" s="15">
        <v>3</v>
      </c>
      <c r="HA58" s="15">
        <v>2</v>
      </c>
      <c r="HB58" s="15">
        <v>3</v>
      </c>
      <c r="HC58" s="15">
        <v>3</v>
      </c>
      <c r="HD58" s="15">
        <v>2</v>
      </c>
      <c r="HE58" s="15">
        <v>2</v>
      </c>
      <c r="HF58" s="15">
        <v>3</v>
      </c>
      <c r="HG58" s="15">
        <v>3</v>
      </c>
      <c r="HH58" s="15">
        <v>3</v>
      </c>
      <c r="HI58" s="15">
        <v>4</v>
      </c>
      <c r="HJ58" s="15">
        <v>2</v>
      </c>
      <c r="HK58" s="15">
        <v>3</v>
      </c>
      <c r="HL58" s="15">
        <v>4</v>
      </c>
      <c r="HM58" s="15">
        <v>3</v>
      </c>
      <c r="HN58" s="15">
        <v>2</v>
      </c>
      <c r="HO58" s="15">
        <v>1</v>
      </c>
      <c r="HP58" s="15">
        <v>2</v>
      </c>
      <c r="HQ58" s="15">
        <v>4</v>
      </c>
      <c r="HR58" s="15">
        <v>4</v>
      </c>
      <c r="HS58" s="15">
        <v>3</v>
      </c>
      <c r="HT58" s="15">
        <v>3</v>
      </c>
      <c r="HU58" s="15">
        <v>2</v>
      </c>
      <c r="HV58" s="15">
        <v>2</v>
      </c>
      <c r="HW58" s="15">
        <v>3</v>
      </c>
      <c r="HX58" s="15">
        <v>2.5</v>
      </c>
      <c r="HY58" s="15">
        <v>2.75</v>
      </c>
      <c r="HZ58" s="15">
        <v>2.75</v>
      </c>
      <c r="IA58" s="15">
        <v>2.5</v>
      </c>
      <c r="IB58" s="15">
        <v>3.25</v>
      </c>
      <c r="IC58" s="15">
        <v>3.25</v>
      </c>
      <c r="ID58" s="15">
        <v>2.5</v>
      </c>
      <c r="IE58" s="15">
        <v>3</v>
      </c>
      <c r="IF58" s="15">
        <v>2.5</v>
      </c>
      <c r="IG58" s="15">
        <v>3</v>
      </c>
      <c r="IH58" s="15">
        <v>2</v>
      </c>
      <c r="II58" s="15">
        <v>3.5</v>
      </c>
      <c r="IJ58" s="15">
        <v>2.25</v>
      </c>
      <c r="IK58" s="15">
        <v>3.25</v>
      </c>
      <c r="IL58" s="15">
        <v>2.5</v>
      </c>
      <c r="IM58" s="15">
        <v>3.25</v>
      </c>
      <c r="IN58" s="15">
        <v>3.25</v>
      </c>
      <c r="IO58" s="15">
        <v>3.5</v>
      </c>
      <c r="IP58" s="15">
        <v>3.25</v>
      </c>
      <c r="IQ58" s="15">
        <v>3.5</v>
      </c>
      <c r="IR58" s="15">
        <v>3.75</v>
      </c>
      <c r="IS58" s="15">
        <v>4</v>
      </c>
      <c r="IT58" s="15">
        <v>2.75</v>
      </c>
      <c r="IU58" s="15">
        <v>2.25</v>
      </c>
      <c r="IV58" s="15">
        <v>3.75</v>
      </c>
      <c r="IW58" s="15">
        <v>3.75</v>
      </c>
      <c r="IX58" s="15">
        <v>3.25</v>
      </c>
      <c r="IY58" s="15">
        <v>2.5</v>
      </c>
      <c r="IZ58" s="15">
        <v>3.5</v>
      </c>
    </row>
    <row r="59" spans="1:260" s="12" customFormat="1" x14ac:dyDescent="0.3">
      <c r="A59" s="15">
        <v>61</v>
      </c>
      <c r="B59" s="15" t="s">
        <v>469</v>
      </c>
      <c r="C59" s="16">
        <v>21</v>
      </c>
      <c r="D59" s="15" t="s">
        <v>258</v>
      </c>
      <c r="E59" s="15" t="s">
        <v>259</v>
      </c>
      <c r="F59" s="15" t="s">
        <v>260</v>
      </c>
      <c r="G59" s="15" t="s">
        <v>268</v>
      </c>
      <c r="H59" s="15" t="s">
        <v>316</v>
      </c>
      <c r="I59" s="15" t="s">
        <v>280</v>
      </c>
      <c r="J59" s="15" t="s">
        <v>280</v>
      </c>
      <c r="K59" s="15" t="s">
        <v>307</v>
      </c>
      <c r="L59" s="15" t="s">
        <v>278</v>
      </c>
      <c r="M59" s="15" t="s">
        <v>393</v>
      </c>
      <c r="N59" s="15">
        <v>0</v>
      </c>
      <c r="O59" s="15">
        <f>3/3</f>
        <v>1</v>
      </c>
      <c r="P59" s="15">
        <v>5.8948770000000001</v>
      </c>
      <c r="Q59" s="15">
        <v>0</v>
      </c>
      <c r="R59" s="15"/>
      <c r="S59" s="15"/>
      <c r="T59" s="15"/>
      <c r="U59" s="15"/>
      <c r="V59" s="15">
        <v>1</v>
      </c>
      <c r="W59" s="15">
        <f>8/8</f>
        <v>1</v>
      </c>
      <c r="X59" s="15">
        <v>15.858086999999999</v>
      </c>
      <c r="Y59" s="15">
        <v>2.0549999999999908</v>
      </c>
      <c r="Z59" s="15">
        <v>0</v>
      </c>
      <c r="AA59" s="15">
        <f>5/5</f>
        <v>1</v>
      </c>
      <c r="AB59" s="15">
        <v>10.255158999999999</v>
      </c>
      <c r="AC59" s="15">
        <v>0</v>
      </c>
      <c r="AD59" s="15"/>
      <c r="AE59" s="15"/>
      <c r="AF59" s="15"/>
      <c r="AG59" s="15"/>
      <c r="AH59" s="15">
        <v>0</v>
      </c>
      <c r="AI59" s="15"/>
      <c r="AJ59" s="15"/>
      <c r="AK59" s="15">
        <v>0</v>
      </c>
      <c r="AL59" s="15">
        <f>8/8</f>
        <v>1</v>
      </c>
      <c r="AM59" s="15">
        <v>21.036906999999999</v>
      </c>
      <c r="AN59" s="15">
        <v>0</v>
      </c>
      <c r="AO59" s="15"/>
      <c r="AP59" s="15"/>
      <c r="AQ59" s="15"/>
      <c r="AR59" s="15"/>
      <c r="AS59" s="15">
        <v>0</v>
      </c>
      <c r="AT59" s="15"/>
      <c r="AU59" s="15"/>
      <c r="AV59" s="15">
        <v>0</v>
      </c>
      <c r="AW59" s="15">
        <f>4/4</f>
        <v>1</v>
      </c>
      <c r="AX59" s="15">
        <v>12.871561999999999</v>
      </c>
      <c r="AY59" s="15">
        <v>0.99249999999999206</v>
      </c>
      <c r="AZ59" s="15"/>
      <c r="BA59" s="15"/>
      <c r="BB59" s="15"/>
      <c r="BC59" s="15"/>
      <c r="BD59" s="15">
        <v>1</v>
      </c>
      <c r="BE59" s="15">
        <v>0</v>
      </c>
      <c r="BF59" s="15">
        <f>5/5</f>
        <v>1</v>
      </c>
      <c r="BG59" s="15">
        <v>0</v>
      </c>
      <c r="BH59" s="15">
        <f>5/5</f>
        <v>1</v>
      </c>
      <c r="BI59" s="15">
        <v>38.929430999999994</v>
      </c>
      <c r="BJ59" s="15">
        <v>0.3</v>
      </c>
      <c r="BK59" s="15"/>
      <c r="BL59" s="15"/>
      <c r="BM59" s="15"/>
      <c r="BN59" s="15"/>
      <c r="BO59" s="15"/>
      <c r="BP59" s="15"/>
      <c r="BQ59" s="15"/>
      <c r="BR59" s="15"/>
      <c r="BS59" s="15">
        <v>0</v>
      </c>
      <c r="BT59" s="15">
        <f t="shared" si="19"/>
        <v>1</v>
      </c>
      <c r="BU59" s="15">
        <v>8.5517059999999994</v>
      </c>
      <c r="BV59" s="15">
        <v>0</v>
      </c>
      <c r="BW59" s="15">
        <v>0</v>
      </c>
      <c r="BX59" s="15"/>
      <c r="BY59" s="15"/>
      <c r="BZ59" s="15">
        <f>0</f>
        <v>0</v>
      </c>
      <c r="CA59" s="15">
        <f>5/5</f>
        <v>1</v>
      </c>
      <c r="CB59" s="15">
        <v>32.848939999999999</v>
      </c>
      <c r="CC59" s="15">
        <v>0</v>
      </c>
      <c r="CD59" s="15">
        <v>0</v>
      </c>
      <c r="CE59" s="15">
        <f>2/2</f>
        <v>1</v>
      </c>
      <c r="CF59" s="15">
        <v>13.899386750000001</v>
      </c>
      <c r="CG59" s="15">
        <f>0.005+0.0075+0.035</f>
        <v>4.7500000000000001E-2</v>
      </c>
      <c r="CH59" s="15">
        <v>5</v>
      </c>
      <c r="CI59" s="15">
        <v>4</v>
      </c>
      <c r="CJ59" s="15">
        <f>6/6</f>
        <v>1</v>
      </c>
      <c r="CK59" s="15">
        <f t="shared" si="12"/>
        <v>160.14605574999999</v>
      </c>
      <c r="CL59" s="15">
        <f>7/8</f>
        <v>0.875</v>
      </c>
      <c r="CM59" s="15">
        <v>2</v>
      </c>
      <c r="CN59" s="15">
        <v>2</v>
      </c>
      <c r="CO59" s="15">
        <f>Table1[[#This Row],[TotalTrapsRisked]]/5</f>
        <v>0.4</v>
      </c>
      <c r="CP59" s="15">
        <v>1</v>
      </c>
      <c r="CQ59" s="15">
        <v>1</v>
      </c>
      <c r="CR59" s="15">
        <v>1</v>
      </c>
      <c r="CS59" s="15">
        <v>1</v>
      </c>
      <c r="CT59" s="15">
        <v>3</v>
      </c>
      <c r="CU59" s="15">
        <v>268</v>
      </c>
      <c r="CV59" s="15">
        <v>1400</v>
      </c>
      <c r="CW59" s="15">
        <v>3</v>
      </c>
      <c r="CX59" s="15"/>
      <c r="CY59" s="15"/>
      <c r="CZ59" s="15"/>
      <c r="DA59" s="15"/>
      <c r="DB59" s="15"/>
      <c r="DC59" s="15"/>
      <c r="DD59" s="15">
        <v>0</v>
      </c>
      <c r="DE59" s="15">
        <v>0</v>
      </c>
      <c r="DF59" s="15">
        <v>5</v>
      </c>
      <c r="DG59" s="15">
        <v>4</v>
      </c>
      <c r="DH59" s="15">
        <v>3</v>
      </c>
      <c r="DI59" s="15">
        <v>4</v>
      </c>
      <c r="DJ59" s="15">
        <v>5</v>
      </c>
      <c r="DK59" s="15">
        <v>2</v>
      </c>
      <c r="DL59" s="15">
        <v>4</v>
      </c>
      <c r="DM59" s="15">
        <v>5</v>
      </c>
      <c r="DN59" s="15">
        <v>3</v>
      </c>
      <c r="DO59" s="15">
        <v>4</v>
      </c>
      <c r="DP59" s="15">
        <v>3</v>
      </c>
      <c r="DQ59" s="15">
        <v>4</v>
      </c>
      <c r="DR59" s="15">
        <v>4</v>
      </c>
      <c r="DS59" s="15">
        <v>5</v>
      </c>
      <c r="DT59" s="15">
        <v>5</v>
      </c>
      <c r="DU59" s="15">
        <v>2</v>
      </c>
      <c r="DV59" s="15">
        <v>2</v>
      </c>
      <c r="DW59" s="15">
        <v>4</v>
      </c>
      <c r="DX59" s="15">
        <v>4</v>
      </c>
      <c r="DY59" s="15">
        <v>4</v>
      </c>
      <c r="DZ59" s="15">
        <v>2</v>
      </c>
      <c r="EA59" s="15">
        <v>5</v>
      </c>
      <c r="EB59" s="15">
        <v>4</v>
      </c>
      <c r="EC59" s="15">
        <v>3</v>
      </c>
      <c r="ED59" s="15">
        <v>2</v>
      </c>
      <c r="EE59" s="15">
        <v>3</v>
      </c>
      <c r="EF59" s="15">
        <v>4</v>
      </c>
      <c r="EG59" s="15">
        <v>3</v>
      </c>
      <c r="EH59" s="15">
        <v>4</v>
      </c>
      <c r="EI59" s="15">
        <v>3</v>
      </c>
      <c r="EJ59" s="15">
        <v>4</v>
      </c>
      <c r="EK59" s="15">
        <v>4</v>
      </c>
      <c r="EL59" s="15">
        <v>4</v>
      </c>
      <c r="EM59" s="15">
        <v>5</v>
      </c>
      <c r="EN59" s="15">
        <v>3</v>
      </c>
      <c r="EO59" s="15">
        <v>3</v>
      </c>
      <c r="EP59" s="15">
        <v>3</v>
      </c>
      <c r="EQ59" s="15">
        <v>3</v>
      </c>
      <c r="ER59" s="15">
        <v>3</v>
      </c>
      <c r="ES59" s="15">
        <v>2</v>
      </c>
      <c r="ET59" s="15">
        <v>2</v>
      </c>
      <c r="EU59" s="15">
        <v>4</v>
      </c>
      <c r="EV59" s="15">
        <v>4</v>
      </c>
      <c r="EW59" s="15">
        <v>5</v>
      </c>
      <c r="EX59" s="15">
        <v>4</v>
      </c>
      <c r="EY59" s="15">
        <v>4</v>
      </c>
      <c r="EZ59" s="15">
        <v>3</v>
      </c>
      <c r="FA59" s="15">
        <v>3</v>
      </c>
      <c r="FB59" s="15">
        <v>2</v>
      </c>
      <c r="FC59" s="15">
        <v>3</v>
      </c>
      <c r="FD59" s="15">
        <v>4</v>
      </c>
      <c r="FE59" s="15">
        <v>3</v>
      </c>
      <c r="FF59" s="15">
        <v>3</v>
      </c>
      <c r="FG59" s="15">
        <v>2</v>
      </c>
      <c r="FH59" s="15">
        <v>4</v>
      </c>
      <c r="FI59" s="15">
        <v>3</v>
      </c>
      <c r="FJ59" s="15">
        <v>4</v>
      </c>
      <c r="FK59" s="15">
        <v>2</v>
      </c>
      <c r="FL59" s="15">
        <v>4</v>
      </c>
      <c r="FM59" s="15">
        <v>4</v>
      </c>
      <c r="FN59" s="15">
        <v>2</v>
      </c>
      <c r="FO59" s="15">
        <v>1</v>
      </c>
      <c r="FP59" s="15">
        <v>3</v>
      </c>
      <c r="FQ59" s="15">
        <v>4</v>
      </c>
      <c r="FR59" s="15">
        <v>3</v>
      </c>
      <c r="FS59" s="15">
        <v>3</v>
      </c>
      <c r="FT59" s="15">
        <v>2</v>
      </c>
      <c r="FU59" s="15">
        <v>3</v>
      </c>
      <c r="FV59" s="15">
        <v>4</v>
      </c>
      <c r="FW59" s="15">
        <v>3</v>
      </c>
      <c r="FX59" s="15">
        <v>2</v>
      </c>
      <c r="FY59" s="15">
        <v>2</v>
      </c>
      <c r="FZ59" s="15">
        <v>4</v>
      </c>
      <c r="GA59" s="15">
        <v>3</v>
      </c>
      <c r="GB59" s="15">
        <v>1</v>
      </c>
      <c r="GC59" s="15">
        <v>2</v>
      </c>
      <c r="GD59" s="15">
        <v>3</v>
      </c>
      <c r="GE59" s="15">
        <v>3</v>
      </c>
      <c r="GF59" s="15">
        <v>3</v>
      </c>
      <c r="GG59" s="15">
        <v>1</v>
      </c>
      <c r="GH59" s="15">
        <v>2</v>
      </c>
      <c r="GI59" s="15">
        <v>2</v>
      </c>
      <c r="GJ59" s="15">
        <v>4</v>
      </c>
      <c r="GK59" s="15">
        <v>3</v>
      </c>
      <c r="GL59" s="15">
        <v>3</v>
      </c>
      <c r="GM59" s="15">
        <v>3</v>
      </c>
      <c r="GN59" s="15">
        <v>2</v>
      </c>
      <c r="GO59" s="15">
        <v>4</v>
      </c>
      <c r="GP59" s="15">
        <v>3</v>
      </c>
      <c r="GQ59" s="15">
        <v>2</v>
      </c>
      <c r="GR59" s="15">
        <v>3</v>
      </c>
      <c r="GS59" s="15">
        <v>4</v>
      </c>
      <c r="GT59" s="15">
        <v>2</v>
      </c>
      <c r="GU59" s="15">
        <v>4</v>
      </c>
      <c r="GV59" s="15">
        <v>4</v>
      </c>
      <c r="GW59" s="15">
        <v>4</v>
      </c>
      <c r="GX59" s="15">
        <v>4</v>
      </c>
      <c r="GY59" s="15">
        <v>3</v>
      </c>
      <c r="GZ59" s="15">
        <v>2</v>
      </c>
      <c r="HA59" s="15">
        <v>2</v>
      </c>
      <c r="HB59" s="15">
        <v>1</v>
      </c>
      <c r="HC59" s="15">
        <v>4</v>
      </c>
      <c r="HD59" s="15">
        <v>3</v>
      </c>
      <c r="HE59" s="15">
        <v>2</v>
      </c>
      <c r="HF59" s="15">
        <v>2</v>
      </c>
      <c r="HG59" s="15">
        <v>1</v>
      </c>
      <c r="HH59" s="15">
        <v>4</v>
      </c>
      <c r="HI59" s="15">
        <v>3</v>
      </c>
      <c r="HJ59" s="15">
        <v>3</v>
      </c>
      <c r="HK59" s="15">
        <v>1</v>
      </c>
      <c r="HL59" s="15">
        <v>3</v>
      </c>
      <c r="HM59" s="15">
        <v>3</v>
      </c>
      <c r="HN59" s="15">
        <v>2</v>
      </c>
      <c r="HO59" s="15">
        <v>2</v>
      </c>
      <c r="HP59" s="15">
        <v>3</v>
      </c>
      <c r="HQ59" s="15">
        <v>4</v>
      </c>
      <c r="HR59" s="15">
        <v>3</v>
      </c>
      <c r="HS59" s="15">
        <v>3</v>
      </c>
      <c r="HT59" s="15">
        <v>2</v>
      </c>
      <c r="HU59" s="15">
        <v>3</v>
      </c>
      <c r="HV59" s="15">
        <v>3</v>
      </c>
      <c r="HW59" s="15">
        <v>3.75</v>
      </c>
      <c r="HX59" s="15">
        <v>4.25</v>
      </c>
      <c r="HY59" s="15">
        <v>4.5</v>
      </c>
      <c r="HZ59" s="15">
        <v>3.5</v>
      </c>
      <c r="IA59" s="15">
        <v>2.75</v>
      </c>
      <c r="IB59" s="15">
        <v>2.75</v>
      </c>
      <c r="IC59" s="15">
        <v>3.75</v>
      </c>
      <c r="ID59" s="15">
        <v>2.5</v>
      </c>
      <c r="IE59" s="15">
        <v>2.25</v>
      </c>
      <c r="IF59" s="15">
        <v>2.75</v>
      </c>
      <c r="IG59" s="15">
        <v>2.75</v>
      </c>
      <c r="IH59" s="15">
        <v>2.75</v>
      </c>
      <c r="II59" s="15">
        <v>4.25</v>
      </c>
      <c r="IJ59" s="15">
        <v>3.5</v>
      </c>
      <c r="IK59" s="15">
        <v>3.75</v>
      </c>
      <c r="IL59" s="15">
        <v>2.75</v>
      </c>
      <c r="IM59" s="15">
        <v>3.5</v>
      </c>
      <c r="IN59" s="15">
        <v>3.75</v>
      </c>
      <c r="IO59" s="15">
        <v>3.5</v>
      </c>
      <c r="IP59" s="15">
        <v>3.75</v>
      </c>
      <c r="IQ59" s="15">
        <v>3.75</v>
      </c>
      <c r="IR59" s="15">
        <v>3.25</v>
      </c>
      <c r="IS59" s="15">
        <v>3.5</v>
      </c>
      <c r="IT59" s="15">
        <v>3</v>
      </c>
      <c r="IU59" s="15">
        <v>3.75</v>
      </c>
      <c r="IV59" s="15">
        <v>3.25</v>
      </c>
      <c r="IW59" s="15">
        <v>4.75</v>
      </c>
      <c r="IX59" s="15">
        <v>4</v>
      </c>
      <c r="IY59" s="15">
        <v>3.25</v>
      </c>
      <c r="IZ59" s="15">
        <v>3.75</v>
      </c>
    </row>
    <row r="60" spans="1:260" s="12" customFormat="1" x14ac:dyDescent="0.3">
      <c r="A60" s="15">
        <v>62</v>
      </c>
      <c r="B60" s="15" t="s">
        <v>467</v>
      </c>
      <c r="C60" s="16">
        <v>54</v>
      </c>
      <c r="D60" s="15" t="s">
        <v>258</v>
      </c>
      <c r="E60" s="15" t="s">
        <v>289</v>
      </c>
      <c r="F60" s="15" t="s">
        <v>290</v>
      </c>
      <c r="G60" s="15" t="s">
        <v>302</v>
      </c>
      <c r="H60" s="15" t="s">
        <v>269</v>
      </c>
      <c r="I60" s="15" t="s">
        <v>394</v>
      </c>
      <c r="J60" s="15" t="s">
        <v>395</v>
      </c>
      <c r="K60" s="15" t="s">
        <v>307</v>
      </c>
      <c r="L60" s="15" t="s">
        <v>281</v>
      </c>
      <c r="M60" s="15" t="s">
        <v>293</v>
      </c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>
        <v>0</v>
      </c>
      <c r="AE60" s="15">
        <f>1/2</f>
        <v>0.5</v>
      </c>
      <c r="AF60" s="15">
        <v>6.2989899999999999</v>
      </c>
      <c r="AG60" s="15">
        <v>0</v>
      </c>
      <c r="AH60" s="15">
        <v>0</v>
      </c>
      <c r="AI60" s="15"/>
      <c r="AJ60" s="15"/>
      <c r="AK60" s="15">
        <v>8</v>
      </c>
      <c r="AL60" s="15">
        <f>2/8</f>
        <v>0.25</v>
      </c>
      <c r="AM60" s="15">
        <v>30.633724999999998</v>
      </c>
      <c r="AN60" s="15">
        <v>8.9625000000000004</v>
      </c>
      <c r="AO60" s="15"/>
      <c r="AP60" s="15"/>
      <c r="AQ60" s="15"/>
      <c r="AR60" s="15"/>
      <c r="AS60" s="15">
        <v>0</v>
      </c>
      <c r="AT60" s="15"/>
      <c r="AU60" s="15"/>
      <c r="AV60" s="15"/>
      <c r="AW60" s="15"/>
      <c r="AX60" s="15"/>
      <c r="AY60" s="15"/>
      <c r="AZ60" s="15">
        <v>0</v>
      </c>
      <c r="BA60" s="15">
        <f t="shared" ref="BA60:BA65" si="20">2/2</f>
        <v>1</v>
      </c>
      <c r="BB60" s="15">
        <v>6.6781360000000003</v>
      </c>
      <c r="BC60" s="15">
        <v>0</v>
      </c>
      <c r="BD60" s="15">
        <v>0</v>
      </c>
      <c r="BE60" s="15"/>
      <c r="BF60" s="15"/>
      <c r="BG60" s="15"/>
      <c r="BH60" s="15"/>
      <c r="BI60" s="15"/>
      <c r="BJ60" s="15"/>
      <c r="BK60" s="15">
        <v>0</v>
      </c>
      <c r="BL60" s="15">
        <f t="shared" ref="BL60:BL65" si="21">2/2</f>
        <v>1</v>
      </c>
      <c r="BM60" s="15">
        <v>13.439793999999999</v>
      </c>
      <c r="BN60" s="15">
        <v>0</v>
      </c>
      <c r="BO60" s="15"/>
      <c r="BP60" s="15"/>
      <c r="BQ60" s="15"/>
      <c r="BR60" s="15"/>
      <c r="BS60" s="15">
        <v>0</v>
      </c>
      <c r="BT60" s="15">
        <f t="shared" si="19"/>
        <v>1</v>
      </c>
      <c r="BU60" s="15">
        <v>14.404179000000001</v>
      </c>
      <c r="BV60" s="15">
        <v>0</v>
      </c>
      <c r="BW60" s="15">
        <v>0</v>
      </c>
      <c r="BX60" s="15"/>
      <c r="BY60" s="15"/>
      <c r="BZ60" s="15"/>
      <c r="CA60" s="15"/>
      <c r="CB60" s="15"/>
      <c r="CC60" s="15"/>
      <c r="CD60" s="15">
        <v>0</v>
      </c>
      <c r="CE60" s="15">
        <f>1/2</f>
        <v>0.5</v>
      </c>
      <c r="CF60" s="15">
        <v>16.514841000000001</v>
      </c>
      <c r="CG60" s="15">
        <v>0.3175</v>
      </c>
      <c r="CH60" s="15">
        <v>0</v>
      </c>
      <c r="CI60" s="15"/>
      <c r="CJ60" s="15"/>
      <c r="CK60" s="15">
        <f t="shared" si="12"/>
        <v>87.969665000000006</v>
      </c>
      <c r="CL60" s="15">
        <f>1/8</f>
        <v>0.125</v>
      </c>
      <c r="CM60" s="15">
        <v>1</v>
      </c>
      <c r="CN60" s="15">
        <v>0</v>
      </c>
      <c r="CO60" s="15">
        <f>Table1[[#This Row],[TotalTrapsRisked]]/5</f>
        <v>0</v>
      </c>
      <c r="CP60" s="15">
        <v>0</v>
      </c>
      <c r="CQ60" s="15">
        <v>0</v>
      </c>
      <c r="CR60" s="15">
        <v>0</v>
      </c>
      <c r="CS60" s="15">
        <v>0.12727272727272726</v>
      </c>
      <c r="CT60" s="15">
        <v>0</v>
      </c>
      <c r="CU60" s="15">
        <v>99</v>
      </c>
      <c r="CV60" s="15">
        <v>140</v>
      </c>
      <c r="CW60" s="15">
        <v>0</v>
      </c>
      <c r="CX60" s="15"/>
      <c r="CY60" s="15"/>
      <c r="CZ60" s="15"/>
      <c r="DA60" s="15"/>
      <c r="DB60" s="15"/>
      <c r="DC60" s="15"/>
      <c r="DD60" s="15">
        <v>0</v>
      </c>
      <c r="DE60" s="15">
        <v>0</v>
      </c>
      <c r="DF60" s="15">
        <v>3</v>
      </c>
      <c r="DG60" s="15">
        <v>3</v>
      </c>
      <c r="DH60" s="15">
        <v>5</v>
      </c>
      <c r="DI60" s="15">
        <v>3</v>
      </c>
      <c r="DJ60" s="15">
        <v>3</v>
      </c>
      <c r="DK60" s="15">
        <v>3</v>
      </c>
      <c r="DL60" s="15">
        <v>1</v>
      </c>
      <c r="DM60" s="15">
        <v>3</v>
      </c>
      <c r="DN60" s="15">
        <v>1</v>
      </c>
      <c r="DO60" s="15">
        <v>3</v>
      </c>
      <c r="DP60" s="15">
        <v>3</v>
      </c>
      <c r="DQ60" s="15">
        <v>3</v>
      </c>
      <c r="DR60" s="15">
        <v>3</v>
      </c>
      <c r="DS60" s="15">
        <v>5</v>
      </c>
      <c r="DT60" s="15">
        <v>3</v>
      </c>
      <c r="DU60" s="15">
        <v>3</v>
      </c>
      <c r="DV60" s="15">
        <v>3</v>
      </c>
      <c r="DW60" s="15">
        <v>4</v>
      </c>
      <c r="DX60" s="15">
        <v>1</v>
      </c>
      <c r="DY60" s="15">
        <v>3</v>
      </c>
      <c r="DZ60" s="15">
        <v>3</v>
      </c>
      <c r="EA60" s="15">
        <v>3</v>
      </c>
      <c r="EB60" s="15">
        <v>5</v>
      </c>
      <c r="EC60" s="15">
        <v>3</v>
      </c>
      <c r="ED60" s="15">
        <v>3</v>
      </c>
      <c r="EE60" s="15">
        <v>1</v>
      </c>
      <c r="EF60" s="15">
        <v>3</v>
      </c>
      <c r="EG60" s="15">
        <v>3</v>
      </c>
      <c r="EH60" s="15">
        <v>3</v>
      </c>
      <c r="EI60" s="15">
        <v>1</v>
      </c>
      <c r="EJ60" s="15">
        <v>1</v>
      </c>
      <c r="EK60" s="15">
        <v>3</v>
      </c>
      <c r="EL60" s="15">
        <v>4</v>
      </c>
      <c r="EM60" s="15">
        <v>4</v>
      </c>
      <c r="EN60" s="15">
        <v>4</v>
      </c>
      <c r="EO60" s="15">
        <v>3</v>
      </c>
      <c r="EP60" s="15">
        <v>3</v>
      </c>
      <c r="EQ60" s="15">
        <v>3</v>
      </c>
      <c r="ER60" s="15">
        <v>1</v>
      </c>
      <c r="ES60" s="15">
        <v>3</v>
      </c>
      <c r="ET60" s="15">
        <v>3</v>
      </c>
      <c r="EU60" s="15">
        <v>3</v>
      </c>
      <c r="EV60" s="15">
        <v>3</v>
      </c>
      <c r="EW60" s="15">
        <v>3</v>
      </c>
      <c r="EX60" s="15">
        <v>5</v>
      </c>
      <c r="EY60" s="15">
        <v>3</v>
      </c>
      <c r="EZ60" s="15">
        <v>3</v>
      </c>
      <c r="FA60" s="15">
        <v>1</v>
      </c>
      <c r="FB60" s="15">
        <v>1</v>
      </c>
      <c r="FC60" s="15">
        <v>4</v>
      </c>
      <c r="FD60" s="15">
        <v>3</v>
      </c>
      <c r="FE60" s="15">
        <v>3</v>
      </c>
      <c r="FF60" s="15">
        <v>2</v>
      </c>
      <c r="FG60" s="15">
        <v>3</v>
      </c>
      <c r="FH60" s="15">
        <v>3</v>
      </c>
      <c r="FI60" s="15">
        <v>3</v>
      </c>
      <c r="FJ60" s="15">
        <v>4</v>
      </c>
      <c r="FK60" s="15">
        <v>4</v>
      </c>
      <c r="FL60" s="15">
        <v>4</v>
      </c>
      <c r="FM60" s="15">
        <v>1</v>
      </c>
      <c r="FN60" s="15">
        <v>1</v>
      </c>
      <c r="FO60" s="15">
        <v>3</v>
      </c>
      <c r="FP60" s="15">
        <v>3</v>
      </c>
      <c r="FQ60" s="15">
        <v>5</v>
      </c>
      <c r="FR60" s="15">
        <v>5</v>
      </c>
      <c r="FS60" s="15">
        <v>1</v>
      </c>
      <c r="FT60" s="15">
        <v>4</v>
      </c>
      <c r="FU60" s="15">
        <v>3</v>
      </c>
      <c r="FV60" s="15">
        <v>4</v>
      </c>
      <c r="FW60" s="15">
        <v>1</v>
      </c>
      <c r="FX60" s="15">
        <v>4</v>
      </c>
      <c r="FY60" s="15">
        <v>3</v>
      </c>
      <c r="FZ60" s="15">
        <v>3</v>
      </c>
      <c r="GA60" s="15">
        <v>4</v>
      </c>
      <c r="GB60" s="15">
        <v>3</v>
      </c>
      <c r="GC60" s="15">
        <v>2</v>
      </c>
      <c r="GD60" s="15">
        <v>3</v>
      </c>
      <c r="GE60" s="15">
        <v>4</v>
      </c>
      <c r="GF60" s="15">
        <v>1</v>
      </c>
      <c r="GG60" s="15">
        <v>3</v>
      </c>
      <c r="GH60" s="15">
        <v>4</v>
      </c>
      <c r="GI60" s="15">
        <v>5</v>
      </c>
      <c r="GJ60" s="15">
        <v>4</v>
      </c>
      <c r="GK60" s="15">
        <v>1</v>
      </c>
      <c r="GL60" s="15">
        <v>3</v>
      </c>
      <c r="GM60" s="15">
        <v>3</v>
      </c>
      <c r="GN60" s="15">
        <v>3</v>
      </c>
      <c r="GO60" s="15">
        <v>3</v>
      </c>
      <c r="GP60" s="15">
        <v>3</v>
      </c>
      <c r="GQ60" s="15">
        <v>3</v>
      </c>
      <c r="GR60" s="15">
        <v>1</v>
      </c>
      <c r="GS60" s="15">
        <v>3</v>
      </c>
      <c r="GT60" s="15">
        <v>3</v>
      </c>
      <c r="GU60" s="15">
        <v>4</v>
      </c>
      <c r="GV60" s="15">
        <v>2</v>
      </c>
      <c r="GW60" s="15">
        <v>3</v>
      </c>
      <c r="GX60" s="15">
        <v>3</v>
      </c>
      <c r="GY60" s="15">
        <v>4</v>
      </c>
      <c r="GZ60" s="15">
        <v>3</v>
      </c>
      <c r="HA60" s="15">
        <v>3</v>
      </c>
      <c r="HB60" s="15">
        <v>2</v>
      </c>
      <c r="HC60" s="15">
        <v>4</v>
      </c>
      <c r="HD60" s="15">
        <v>3</v>
      </c>
      <c r="HE60" s="15">
        <v>3</v>
      </c>
      <c r="HF60" s="15">
        <v>3</v>
      </c>
      <c r="HG60" s="15">
        <v>1</v>
      </c>
      <c r="HH60" s="15">
        <v>3</v>
      </c>
      <c r="HI60" s="15">
        <v>4</v>
      </c>
      <c r="HJ60" s="15">
        <v>3</v>
      </c>
      <c r="HK60" s="15">
        <v>3</v>
      </c>
      <c r="HL60" s="15">
        <v>2</v>
      </c>
      <c r="HM60" s="15">
        <v>4</v>
      </c>
      <c r="HN60" s="15">
        <v>2</v>
      </c>
      <c r="HO60" s="15">
        <v>3</v>
      </c>
      <c r="HP60" s="15">
        <v>2</v>
      </c>
      <c r="HQ60" s="15">
        <v>3</v>
      </c>
      <c r="HR60" s="15">
        <v>4</v>
      </c>
      <c r="HS60" s="15">
        <v>3</v>
      </c>
      <c r="HT60" s="15">
        <v>3</v>
      </c>
      <c r="HU60" s="15">
        <v>3</v>
      </c>
      <c r="HV60" s="15">
        <v>1</v>
      </c>
      <c r="HW60" s="15">
        <v>3.75</v>
      </c>
      <c r="HX60" s="15">
        <v>3</v>
      </c>
      <c r="HY60" s="15">
        <v>4.25</v>
      </c>
      <c r="HZ60" s="15">
        <v>3.25</v>
      </c>
      <c r="IA60" s="15">
        <v>3</v>
      </c>
      <c r="IB60" s="15">
        <v>5</v>
      </c>
      <c r="IC60" s="15">
        <v>2</v>
      </c>
      <c r="ID60" s="15">
        <v>2.5</v>
      </c>
      <c r="IE60" s="15">
        <v>2.75</v>
      </c>
      <c r="IF60" s="15">
        <v>3</v>
      </c>
      <c r="IG60" s="15">
        <v>2.25</v>
      </c>
      <c r="IH60" s="15">
        <v>2.25</v>
      </c>
      <c r="II60" s="15">
        <v>3</v>
      </c>
      <c r="IJ60" s="15">
        <v>2</v>
      </c>
      <c r="IK60" s="15">
        <v>3</v>
      </c>
      <c r="IL60" s="15">
        <v>3</v>
      </c>
      <c r="IM60" s="15">
        <v>3</v>
      </c>
      <c r="IN60" s="15">
        <v>3.25</v>
      </c>
      <c r="IO60" s="15">
        <v>4</v>
      </c>
      <c r="IP60" s="15">
        <v>3</v>
      </c>
      <c r="IQ60" s="15">
        <v>2.75</v>
      </c>
      <c r="IR60" s="15">
        <v>4.25</v>
      </c>
      <c r="IS60" s="15">
        <v>4.25</v>
      </c>
      <c r="IT60" s="15">
        <v>3.25</v>
      </c>
      <c r="IU60" s="15">
        <v>4</v>
      </c>
      <c r="IV60" s="15">
        <v>4.5</v>
      </c>
      <c r="IW60" s="15">
        <v>3.5</v>
      </c>
      <c r="IX60" s="15">
        <v>4</v>
      </c>
      <c r="IY60" s="15">
        <v>3.25</v>
      </c>
      <c r="IZ60" s="15">
        <v>3.25</v>
      </c>
    </row>
    <row r="61" spans="1:260" s="12" customFormat="1" x14ac:dyDescent="0.3">
      <c r="A61" s="15">
        <v>63</v>
      </c>
      <c r="B61" s="15" t="s">
        <v>469</v>
      </c>
      <c r="C61" s="16">
        <v>28</v>
      </c>
      <c r="D61" s="15" t="s">
        <v>288</v>
      </c>
      <c r="E61" s="15" t="s">
        <v>259</v>
      </c>
      <c r="F61" s="15" t="s">
        <v>260</v>
      </c>
      <c r="G61" s="15" t="s">
        <v>283</v>
      </c>
      <c r="H61" s="15" t="s">
        <v>291</v>
      </c>
      <c r="I61" s="15" t="s">
        <v>280</v>
      </c>
      <c r="J61" s="15" t="s">
        <v>396</v>
      </c>
      <c r="K61" s="15" t="s">
        <v>272</v>
      </c>
      <c r="L61" s="15" t="s">
        <v>295</v>
      </c>
      <c r="M61" s="15" t="s">
        <v>365</v>
      </c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>
        <v>0</v>
      </c>
      <c r="AE61" s="15">
        <f>2/2</f>
        <v>1</v>
      </c>
      <c r="AF61" s="15">
        <v>11.703521</v>
      </c>
      <c r="AG61" s="15">
        <v>0</v>
      </c>
      <c r="AH61" s="15">
        <v>1</v>
      </c>
      <c r="AI61" s="15">
        <v>0</v>
      </c>
      <c r="AJ61" s="15">
        <f>5/5</f>
        <v>1</v>
      </c>
      <c r="AK61" s="15"/>
      <c r="AL61" s="15"/>
      <c r="AM61" s="15"/>
      <c r="AN61" s="15"/>
      <c r="AO61" s="15">
        <v>0</v>
      </c>
      <c r="AP61" s="15">
        <f>3/3</f>
        <v>1</v>
      </c>
      <c r="AQ61" s="15">
        <v>11.925193999999999</v>
      </c>
      <c r="AR61" s="15">
        <v>0</v>
      </c>
      <c r="AS61" s="15">
        <v>0</v>
      </c>
      <c r="AT61" s="15"/>
      <c r="AU61" s="15"/>
      <c r="AV61" s="15"/>
      <c r="AW61" s="15"/>
      <c r="AX61" s="15"/>
      <c r="AY61" s="15"/>
      <c r="AZ61" s="15">
        <v>0</v>
      </c>
      <c r="BA61" s="15">
        <f t="shared" si="20"/>
        <v>1</v>
      </c>
      <c r="BB61" s="15">
        <v>6.8039709999999998</v>
      </c>
      <c r="BC61" s="15">
        <v>0</v>
      </c>
      <c r="BD61" s="15">
        <v>0</v>
      </c>
      <c r="BE61" s="15"/>
      <c r="BF61" s="15"/>
      <c r="BG61" s="15"/>
      <c r="BH61" s="15"/>
      <c r="BI61" s="15"/>
      <c r="BJ61" s="15"/>
      <c r="BK61" s="15">
        <v>0</v>
      </c>
      <c r="BL61" s="15">
        <f t="shared" si="21"/>
        <v>1</v>
      </c>
      <c r="BM61" s="15">
        <v>11.960099</v>
      </c>
      <c r="BN61" s="15">
        <v>0</v>
      </c>
      <c r="BO61" s="15"/>
      <c r="BP61" s="15"/>
      <c r="BQ61" s="15"/>
      <c r="BR61" s="15"/>
      <c r="BS61" s="15">
        <v>0</v>
      </c>
      <c r="BT61" s="15">
        <f t="shared" si="19"/>
        <v>1</v>
      </c>
      <c r="BU61" s="15">
        <v>8.5286960000000001</v>
      </c>
      <c r="BV61" s="15">
        <v>0</v>
      </c>
      <c r="BW61" s="15">
        <v>0</v>
      </c>
      <c r="BX61" s="15"/>
      <c r="BY61" s="15"/>
      <c r="BZ61" s="15"/>
      <c r="CA61" s="15"/>
      <c r="CB61" s="15"/>
      <c r="CC61" s="15"/>
      <c r="CD61" s="15">
        <v>0</v>
      </c>
      <c r="CE61" s="15">
        <f>2/2</f>
        <v>1</v>
      </c>
      <c r="CF61" s="15">
        <v>13.655436</v>
      </c>
      <c r="CG61" s="15">
        <v>7.2499999999999995E-2</v>
      </c>
      <c r="CH61" s="15">
        <v>0</v>
      </c>
      <c r="CI61" s="15"/>
      <c r="CJ61" s="15"/>
      <c r="CK61" s="15">
        <f t="shared" si="12"/>
        <v>64.576916999999995</v>
      </c>
      <c r="CL61" s="15">
        <v>0</v>
      </c>
      <c r="CM61" s="15">
        <v>0</v>
      </c>
      <c r="CN61" s="15">
        <v>1</v>
      </c>
      <c r="CO61" s="15">
        <f>Table1[[#This Row],[TotalTrapsRisked]]/5</f>
        <v>0.2</v>
      </c>
      <c r="CP61" s="15">
        <v>0</v>
      </c>
      <c r="CQ61" s="15">
        <v>0</v>
      </c>
      <c r="CR61" s="15">
        <v>0.14583333333333334</v>
      </c>
      <c r="CS61" s="15">
        <v>0.32727272727272727</v>
      </c>
      <c r="CT61" s="15">
        <v>0</v>
      </c>
      <c r="CU61" s="15">
        <v>152</v>
      </c>
      <c r="CV61" s="15">
        <v>360</v>
      </c>
      <c r="CW61" s="15">
        <v>0</v>
      </c>
      <c r="CX61" s="15"/>
      <c r="CY61" s="15"/>
      <c r="CZ61" s="15"/>
      <c r="DA61" s="15"/>
      <c r="DB61" s="15"/>
      <c r="DC61" s="15"/>
      <c r="DD61" s="15">
        <v>0</v>
      </c>
      <c r="DE61" s="15">
        <v>0</v>
      </c>
      <c r="DF61" s="15">
        <v>5</v>
      </c>
      <c r="DG61" s="15">
        <v>4</v>
      </c>
      <c r="DH61" s="15">
        <v>5</v>
      </c>
      <c r="DI61" s="15">
        <v>2</v>
      </c>
      <c r="DJ61" s="15">
        <v>4</v>
      </c>
      <c r="DK61" s="15">
        <v>4</v>
      </c>
      <c r="DL61" s="15">
        <v>1</v>
      </c>
      <c r="DM61" s="15">
        <v>5</v>
      </c>
      <c r="DN61" s="15">
        <v>1</v>
      </c>
      <c r="DO61" s="15">
        <v>4</v>
      </c>
      <c r="DP61" s="15">
        <v>5</v>
      </c>
      <c r="DQ61" s="15">
        <v>4</v>
      </c>
      <c r="DR61" s="15">
        <v>5</v>
      </c>
      <c r="DS61" s="15">
        <v>4</v>
      </c>
      <c r="DT61" s="15">
        <v>5</v>
      </c>
      <c r="DU61" s="15">
        <v>3</v>
      </c>
      <c r="DV61" s="15">
        <v>2</v>
      </c>
      <c r="DW61" s="15">
        <v>2</v>
      </c>
      <c r="DX61" s="15">
        <v>1</v>
      </c>
      <c r="DY61" s="15">
        <v>4</v>
      </c>
      <c r="DZ61" s="15">
        <v>4</v>
      </c>
      <c r="EA61" s="15">
        <v>5</v>
      </c>
      <c r="EB61" s="15">
        <v>4</v>
      </c>
      <c r="EC61" s="15">
        <v>1</v>
      </c>
      <c r="ED61" s="15">
        <v>2</v>
      </c>
      <c r="EE61" s="15">
        <v>5</v>
      </c>
      <c r="EF61" s="15">
        <v>3</v>
      </c>
      <c r="EG61" s="15">
        <v>4</v>
      </c>
      <c r="EH61" s="15">
        <v>5</v>
      </c>
      <c r="EI61" s="15">
        <v>1</v>
      </c>
      <c r="EJ61" s="15">
        <v>4</v>
      </c>
      <c r="EK61" s="15">
        <v>3</v>
      </c>
      <c r="EL61" s="15">
        <v>5</v>
      </c>
      <c r="EM61" s="15">
        <v>2</v>
      </c>
      <c r="EN61" s="15">
        <v>2</v>
      </c>
      <c r="EO61" s="15">
        <v>4</v>
      </c>
      <c r="EP61" s="15">
        <v>2</v>
      </c>
      <c r="EQ61" s="15">
        <v>5</v>
      </c>
      <c r="ER61" s="15">
        <v>1</v>
      </c>
      <c r="ES61" s="15">
        <v>4</v>
      </c>
      <c r="ET61" s="15">
        <v>3</v>
      </c>
      <c r="EU61" s="15">
        <v>1</v>
      </c>
      <c r="EV61" s="15">
        <v>5</v>
      </c>
      <c r="EW61" s="15">
        <v>5</v>
      </c>
      <c r="EX61" s="15">
        <v>5</v>
      </c>
      <c r="EY61" s="15">
        <v>4</v>
      </c>
      <c r="EZ61" s="15">
        <v>2</v>
      </c>
      <c r="FA61" s="15">
        <v>3</v>
      </c>
      <c r="FB61" s="15">
        <v>1</v>
      </c>
      <c r="FC61" s="15">
        <v>2</v>
      </c>
      <c r="FD61" s="15">
        <v>2</v>
      </c>
      <c r="FE61" s="15">
        <v>4</v>
      </c>
      <c r="FF61" s="15">
        <v>1</v>
      </c>
      <c r="FG61" s="15">
        <v>2</v>
      </c>
      <c r="FH61" s="15">
        <v>3</v>
      </c>
      <c r="FI61" s="15">
        <v>2</v>
      </c>
      <c r="FJ61" s="15">
        <v>3</v>
      </c>
      <c r="FK61" s="15">
        <v>4</v>
      </c>
      <c r="FL61" s="15">
        <v>5</v>
      </c>
      <c r="FM61" s="15">
        <v>2</v>
      </c>
      <c r="FN61" s="15">
        <v>4</v>
      </c>
      <c r="FO61" s="15">
        <v>2</v>
      </c>
      <c r="FP61" s="15">
        <v>5</v>
      </c>
      <c r="FQ61" s="15">
        <v>2</v>
      </c>
      <c r="FR61" s="15">
        <v>2</v>
      </c>
      <c r="FS61" s="15">
        <v>4</v>
      </c>
      <c r="FT61" s="15">
        <v>4</v>
      </c>
      <c r="FU61" s="15">
        <v>4</v>
      </c>
      <c r="FV61" s="15">
        <v>4</v>
      </c>
      <c r="FW61" s="15">
        <v>1</v>
      </c>
      <c r="FX61" s="15">
        <v>4</v>
      </c>
      <c r="FY61" s="15">
        <v>5</v>
      </c>
      <c r="FZ61" s="15">
        <v>2</v>
      </c>
      <c r="GA61" s="15">
        <v>1</v>
      </c>
      <c r="GB61" s="15">
        <v>1</v>
      </c>
      <c r="GC61" s="15">
        <v>2</v>
      </c>
      <c r="GD61" s="15">
        <v>2</v>
      </c>
      <c r="GE61" s="15">
        <v>2</v>
      </c>
      <c r="GF61" s="15">
        <v>3</v>
      </c>
      <c r="GG61" s="15">
        <v>1</v>
      </c>
      <c r="GH61" s="15">
        <v>2</v>
      </c>
      <c r="GI61" s="15">
        <v>2</v>
      </c>
      <c r="GJ61" s="15">
        <v>2</v>
      </c>
      <c r="GK61" s="15">
        <v>1</v>
      </c>
      <c r="GL61" s="15">
        <v>1</v>
      </c>
      <c r="GM61" s="15">
        <v>3</v>
      </c>
      <c r="GN61" s="15">
        <v>4</v>
      </c>
      <c r="GO61" s="15">
        <v>1</v>
      </c>
      <c r="GP61" s="15">
        <v>1</v>
      </c>
      <c r="GQ61" s="15">
        <v>1</v>
      </c>
      <c r="GR61" s="15">
        <v>4</v>
      </c>
      <c r="GS61" s="15">
        <v>5</v>
      </c>
      <c r="GT61" s="15">
        <v>2</v>
      </c>
      <c r="GU61" s="15">
        <v>4</v>
      </c>
      <c r="GV61" s="15">
        <v>4</v>
      </c>
      <c r="GW61" s="15">
        <v>3</v>
      </c>
      <c r="GX61" s="15">
        <v>1</v>
      </c>
      <c r="GY61" s="15">
        <v>2</v>
      </c>
      <c r="GZ61" s="15">
        <v>2</v>
      </c>
      <c r="HA61" s="15">
        <v>1</v>
      </c>
      <c r="HB61" s="15">
        <v>2</v>
      </c>
      <c r="HC61" s="15">
        <v>3</v>
      </c>
      <c r="HD61" s="15">
        <v>3</v>
      </c>
      <c r="HE61" s="15">
        <v>1</v>
      </c>
      <c r="HF61" s="15">
        <v>2</v>
      </c>
      <c r="HG61" s="15">
        <v>1</v>
      </c>
      <c r="HH61" s="15">
        <v>1</v>
      </c>
      <c r="HI61" s="15">
        <v>4</v>
      </c>
      <c r="HJ61" s="15">
        <v>2</v>
      </c>
      <c r="HK61" s="15">
        <v>1</v>
      </c>
      <c r="HL61" s="15">
        <v>2</v>
      </c>
      <c r="HM61" s="15">
        <v>2</v>
      </c>
      <c r="HN61" s="15">
        <v>1</v>
      </c>
      <c r="HO61" s="15">
        <v>1</v>
      </c>
      <c r="HP61" s="15">
        <v>1</v>
      </c>
      <c r="HQ61" s="15">
        <v>4</v>
      </c>
      <c r="HR61" s="15">
        <v>2</v>
      </c>
      <c r="HS61" s="15">
        <v>1</v>
      </c>
      <c r="HT61" s="15">
        <v>2</v>
      </c>
      <c r="HU61" s="15">
        <v>2</v>
      </c>
      <c r="HV61" s="15">
        <v>2</v>
      </c>
      <c r="HW61" s="15">
        <v>2.75</v>
      </c>
      <c r="HX61" s="15">
        <v>3</v>
      </c>
      <c r="HY61" s="15">
        <v>4.75</v>
      </c>
      <c r="HZ61" s="15">
        <v>3.5</v>
      </c>
      <c r="IA61" s="15">
        <v>2.5</v>
      </c>
      <c r="IB61" s="15">
        <v>3.75</v>
      </c>
      <c r="IC61" s="15">
        <v>4.5</v>
      </c>
      <c r="ID61" s="15">
        <v>4.25</v>
      </c>
      <c r="IE61" s="15">
        <v>4</v>
      </c>
      <c r="IF61" s="15">
        <v>3.5</v>
      </c>
      <c r="IG61" s="15">
        <v>4</v>
      </c>
      <c r="IH61" s="15">
        <v>3.75</v>
      </c>
      <c r="II61" s="15">
        <v>3.75</v>
      </c>
      <c r="IJ61" s="15">
        <v>2.25</v>
      </c>
      <c r="IK61" s="15">
        <v>2.5</v>
      </c>
      <c r="IL61" s="15">
        <v>2</v>
      </c>
      <c r="IM61" s="15">
        <v>3</v>
      </c>
      <c r="IN61" s="15">
        <v>2</v>
      </c>
      <c r="IO61" s="15">
        <v>4.75</v>
      </c>
      <c r="IP61" s="15">
        <v>4</v>
      </c>
      <c r="IQ61" s="15">
        <v>5</v>
      </c>
      <c r="IR61" s="15">
        <v>3</v>
      </c>
      <c r="IS61" s="15">
        <v>4.75</v>
      </c>
      <c r="IT61" s="15">
        <v>4.25</v>
      </c>
      <c r="IU61" s="15">
        <v>2</v>
      </c>
      <c r="IV61" s="15">
        <v>5</v>
      </c>
      <c r="IW61" s="15">
        <v>4.5</v>
      </c>
      <c r="IX61" s="15">
        <v>5</v>
      </c>
      <c r="IY61" s="15">
        <v>4.75</v>
      </c>
      <c r="IZ61" s="15">
        <v>4.75</v>
      </c>
    </row>
    <row r="62" spans="1:260" s="12" customFormat="1" x14ac:dyDescent="0.3">
      <c r="A62" s="15">
        <v>64</v>
      </c>
      <c r="B62" s="15" t="s">
        <v>469</v>
      </c>
      <c r="C62" s="16">
        <v>31</v>
      </c>
      <c r="D62" s="15" t="s">
        <v>258</v>
      </c>
      <c r="E62" s="15" t="s">
        <v>259</v>
      </c>
      <c r="F62" s="15" t="s">
        <v>260</v>
      </c>
      <c r="G62" s="15" t="s">
        <v>283</v>
      </c>
      <c r="H62" s="15" t="s">
        <v>269</v>
      </c>
      <c r="I62" s="15" t="s">
        <v>270</v>
      </c>
      <c r="J62" s="15" t="s">
        <v>284</v>
      </c>
      <c r="K62" s="15" t="s">
        <v>277</v>
      </c>
      <c r="L62" s="15" t="s">
        <v>281</v>
      </c>
      <c r="M62" s="15" t="s">
        <v>397</v>
      </c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>
        <v>2</v>
      </c>
      <c r="AA62" s="15">
        <v>0</v>
      </c>
      <c r="AB62" s="15"/>
      <c r="AC62" s="15">
        <f>1.05*2</f>
        <v>2.1</v>
      </c>
      <c r="AD62" s="15">
        <v>0</v>
      </c>
      <c r="AE62" s="15">
        <f>1/2</f>
        <v>0.5</v>
      </c>
      <c r="AF62" s="15">
        <v>4.0075789999999998</v>
      </c>
      <c r="AG62" s="15">
        <v>0</v>
      </c>
      <c r="AH62" s="15">
        <v>0</v>
      </c>
      <c r="AI62" s="15"/>
      <c r="AJ62" s="15"/>
      <c r="AK62" s="15"/>
      <c r="AL62" s="15"/>
      <c r="AM62" s="15"/>
      <c r="AN62" s="15"/>
      <c r="AO62" s="15">
        <v>0</v>
      </c>
      <c r="AP62" s="15">
        <f>3/3</f>
        <v>1</v>
      </c>
      <c r="AQ62" s="15">
        <v>89.926564999999997</v>
      </c>
      <c r="AR62" s="15">
        <v>5.0000000000000001E-3</v>
      </c>
      <c r="AS62" s="15">
        <v>0</v>
      </c>
      <c r="AT62" s="15"/>
      <c r="AU62" s="15"/>
      <c r="AV62" s="15"/>
      <c r="AW62" s="15"/>
      <c r="AX62" s="15"/>
      <c r="AY62" s="15"/>
      <c r="AZ62" s="15">
        <v>0</v>
      </c>
      <c r="BA62" s="15">
        <f t="shared" si="20"/>
        <v>1</v>
      </c>
      <c r="BB62" s="15">
        <v>15.489281999999999</v>
      </c>
      <c r="BC62" s="15">
        <f>0</f>
        <v>0</v>
      </c>
      <c r="BD62" s="15">
        <f>0</f>
        <v>0</v>
      </c>
      <c r="BE62" s="15"/>
      <c r="BF62" s="15"/>
      <c r="BG62" s="15"/>
      <c r="BH62" s="15"/>
      <c r="BI62" s="15"/>
      <c r="BJ62" s="15"/>
      <c r="BK62" s="15">
        <v>0</v>
      </c>
      <c r="BL62" s="15">
        <f t="shared" si="21"/>
        <v>1</v>
      </c>
      <c r="BM62" s="15">
        <v>15.489281999999999</v>
      </c>
      <c r="BN62" s="15">
        <v>9.2499999999999999E-2</v>
      </c>
      <c r="BO62" s="15"/>
      <c r="BP62" s="15"/>
      <c r="BQ62" s="15"/>
      <c r="BR62" s="15"/>
      <c r="BS62" s="15">
        <v>0</v>
      </c>
      <c r="BT62" s="15">
        <f t="shared" si="19"/>
        <v>1</v>
      </c>
      <c r="BU62" s="15">
        <v>25.328714999999999</v>
      </c>
      <c r="BV62" s="15">
        <v>0</v>
      </c>
      <c r="BW62" s="15">
        <v>1</v>
      </c>
      <c r="BX62" s="15">
        <v>0</v>
      </c>
      <c r="BY62" s="15">
        <f>6/6</f>
        <v>1</v>
      </c>
      <c r="BZ62" s="15"/>
      <c r="CA62" s="15"/>
      <c r="CB62" s="15"/>
      <c r="CC62" s="15"/>
      <c r="CD62" s="15">
        <v>0</v>
      </c>
      <c r="CE62" s="15">
        <f>2/2</f>
        <v>1</v>
      </c>
      <c r="CF62" s="15">
        <v>17.295947000000002</v>
      </c>
      <c r="CG62" s="15">
        <v>5.7500000000000002E-2</v>
      </c>
      <c r="CH62" s="15">
        <v>0</v>
      </c>
      <c r="CI62" s="15"/>
      <c r="CJ62" s="15"/>
      <c r="CK62" s="15">
        <f t="shared" si="12"/>
        <v>167.53737000000001</v>
      </c>
      <c r="CL62" s="15">
        <f>1/8</f>
        <v>0.125</v>
      </c>
      <c r="CM62" s="15">
        <v>1</v>
      </c>
      <c r="CN62" s="15">
        <v>1</v>
      </c>
      <c r="CO62" s="15">
        <f>Table1[[#This Row],[TotalTrapsRisked]]/5</f>
        <v>0.2</v>
      </c>
      <c r="CP62" s="15">
        <v>0</v>
      </c>
      <c r="CQ62" s="15">
        <v>0</v>
      </c>
      <c r="CR62" s="15">
        <v>0.27083333333333331</v>
      </c>
      <c r="CS62" s="15">
        <v>0.27272727272727271</v>
      </c>
      <c r="CT62" s="15">
        <v>1</v>
      </c>
      <c r="CU62" s="15">
        <v>250</v>
      </c>
      <c r="CV62" s="15">
        <v>400</v>
      </c>
      <c r="CW62" s="15">
        <v>1</v>
      </c>
      <c r="CX62" s="15"/>
      <c r="CY62" s="15"/>
      <c r="CZ62" s="15"/>
      <c r="DA62" s="15"/>
      <c r="DB62" s="15"/>
      <c r="DC62" s="15"/>
      <c r="DD62" s="15">
        <v>0</v>
      </c>
      <c r="DE62" s="15">
        <v>0</v>
      </c>
      <c r="DF62" s="15">
        <v>5</v>
      </c>
      <c r="DG62" s="15">
        <v>4</v>
      </c>
      <c r="DH62" s="15">
        <v>2</v>
      </c>
      <c r="DI62" s="15">
        <v>3</v>
      </c>
      <c r="DJ62" s="15">
        <v>4</v>
      </c>
      <c r="DK62" s="15">
        <v>2</v>
      </c>
      <c r="DL62" s="15">
        <v>4</v>
      </c>
      <c r="DM62" s="15">
        <v>2</v>
      </c>
      <c r="DN62" s="15">
        <v>1</v>
      </c>
      <c r="DO62" s="15">
        <v>4</v>
      </c>
      <c r="DP62" s="15">
        <v>2</v>
      </c>
      <c r="DQ62" s="15">
        <v>4</v>
      </c>
      <c r="DR62" s="15">
        <v>5</v>
      </c>
      <c r="DS62" s="15">
        <v>5</v>
      </c>
      <c r="DT62" s="15">
        <v>4</v>
      </c>
      <c r="DU62" s="15">
        <v>2</v>
      </c>
      <c r="DV62" s="15">
        <v>2</v>
      </c>
      <c r="DW62" s="15">
        <v>4</v>
      </c>
      <c r="DX62" s="15">
        <v>1</v>
      </c>
      <c r="DY62" s="15">
        <v>5</v>
      </c>
      <c r="DZ62" s="15">
        <v>4</v>
      </c>
      <c r="EA62" s="15">
        <v>4</v>
      </c>
      <c r="EB62" s="15">
        <v>4</v>
      </c>
      <c r="EC62" s="15">
        <v>1</v>
      </c>
      <c r="ED62" s="15">
        <v>3</v>
      </c>
      <c r="EE62" s="15">
        <v>2</v>
      </c>
      <c r="EF62" s="15">
        <v>4</v>
      </c>
      <c r="EG62" s="15">
        <v>3</v>
      </c>
      <c r="EH62" s="15">
        <v>4</v>
      </c>
      <c r="EI62" s="15">
        <v>1</v>
      </c>
      <c r="EJ62" s="15">
        <v>4</v>
      </c>
      <c r="EK62" s="15">
        <v>4</v>
      </c>
      <c r="EL62" s="15">
        <v>1</v>
      </c>
      <c r="EM62" s="15">
        <v>3</v>
      </c>
      <c r="EN62" s="15">
        <v>3</v>
      </c>
      <c r="EO62" s="15">
        <v>2</v>
      </c>
      <c r="EP62" s="15">
        <v>2</v>
      </c>
      <c r="EQ62" s="15">
        <v>3</v>
      </c>
      <c r="ER62" s="15">
        <v>1</v>
      </c>
      <c r="ES62" s="15">
        <v>2</v>
      </c>
      <c r="ET62" s="15">
        <v>1</v>
      </c>
      <c r="EU62" s="15">
        <v>3</v>
      </c>
      <c r="EV62" s="15">
        <v>4</v>
      </c>
      <c r="EW62" s="15">
        <v>5</v>
      </c>
      <c r="EX62" s="15">
        <v>4</v>
      </c>
      <c r="EY62" s="15">
        <v>3</v>
      </c>
      <c r="EZ62" s="15">
        <v>3</v>
      </c>
      <c r="FA62" s="15">
        <v>2</v>
      </c>
      <c r="FB62" s="15">
        <v>2</v>
      </c>
      <c r="FC62" s="15">
        <v>3</v>
      </c>
      <c r="FD62" s="15">
        <v>3</v>
      </c>
      <c r="FE62" s="15">
        <v>3</v>
      </c>
      <c r="FF62" s="15">
        <v>5</v>
      </c>
      <c r="FG62" s="15">
        <v>3</v>
      </c>
      <c r="FH62" s="15">
        <v>4</v>
      </c>
      <c r="FI62" s="15">
        <v>1</v>
      </c>
      <c r="FJ62" s="15">
        <v>4</v>
      </c>
      <c r="FK62" s="15">
        <v>2</v>
      </c>
      <c r="FL62" s="15">
        <v>5</v>
      </c>
      <c r="FM62" s="15">
        <v>2</v>
      </c>
      <c r="FN62" s="15">
        <v>3</v>
      </c>
      <c r="FO62" s="15">
        <v>1</v>
      </c>
      <c r="FP62" s="15">
        <v>2</v>
      </c>
      <c r="FQ62" s="15">
        <v>3</v>
      </c>
      <c r="FR62" s="15">
        <v>3</v>
      </c>
      <c r="FS62" s="15">
        <v>2</v>
      </c>
      <c r="FT62" s="15">
        <v>1</v>
      </c>
      <c r="FU62" s="15">
        <v>2</v>
      </c>
      <c r="FV62" s="15">
        <v>4</v>
      </c>
      <c r="FW62" s="15">
        <v>1</v>
      </c>
      <c r="FX62" s="15">
        <v>2</v>
      </c>
      <c r="FY62" s="15">
        <v>2</v>
      </c>
      <c r="FZ62" s="15">
        <v>3</v>
      </c>
      <c r="GA62" s="15">
        <v>2</v>
      </c>
      <c r="GB62" s="15">
        <v>1</v>
      </c>
      <c r="GC62" s="15">
        <v>2</v>
      </c>
      <c r="GD62" s="15">
        <v>2</v>
      </c>
      <c r="GE62" s="15">
        <v>4</v>
      </c>
      <c r="GF62" s="15">
        <v>2</v>
      </c>
      <c r="GG62" s="15">
        <v>1</v>
      </c>
      <c r="GH62" s="15">
        <v>2</v>
      </c>
      <c r="GI62" s="15">
        <v>4</v>
      </c>
      <c r="GJ62" s="15">
        <v>3</v>
      </c>
      <c r="GK62" s="15">
        <v>3</v>
      </c>
      <c r="GL62" s="15">
        <v>3</v>
      </c>
      <c r="GM62" s="15">
        <v>2</v>
      </c>
      <c r="GN62" s="15">
        <v>2</v>
      </c>
      <c r="GO62" s="15">
        <v>5</v>
      </c>
      <c r="GP62" s="15">
        <v>3</v>
      </c>
      <c r="GQ62" s="15">
        <v>1</v>
      </c>
      <c r="GR62" s="15">
        <v>2</v>
      </c>
      <c r="GS62" s="15">
        <v>3</v>
      </c>
      <c r="GT62" s="15">
        <v>2</v>
      </c>
      <c r="GU62" s="15">
        <v>3</v>
      </c>
      <c r="GV62" s="15">
        <v>3</v>
      </c>
      <c r="GW62" s="15">
        <v>3</v>
      </c>
      <c r="GX62" s="15">
        <v>3</v>
      </c>
      <c r="GY62" s="15">
        <v>2</v>
      </c>
      <c r="GZ62" s="15">
        <v>3</v>
      </c>
      <c r="HA62" s="15">
        <v>1</v>
      </c>
      <c r="HB62" s="15">
        <v>1</v>
      </c>
      <c r="HC62" s="15">
        <v>4</v>
      </c>
      <c r="HD62" s="15">
        <v>3</v>
      </c>
      <c r="HE62" s="15">
        <v>1</v>
      </c>
      <c r="HF62" s="15">
        <v>1</v>
      </c>
      <c r="HG62" s="15">
        <v>1</v>
      </c>
      <c r="HH62" s="15">
        <v>1</v>
      </c>
      <c r="HI62" s="15">
        <v>4</v>
      </c>
      <c r="HJ62" s="15">
        <v>3</v>
      </c>
      <c r="HK62" s="15">
        <v>1</v>
      </c>
      <c r="HL62" s="15">
        <v>1</v>
      </c>
      <c r="HM62" s="15">
        <v>4</v>
      </c>
      <c r="HN62" s="15">
        <v>2</v>
      </c>
      <c r="HO62" s="15">
        <v>3</v>
      </c>
      <c r="HP62" s="15">
        <v>1</v>
      </c>
      <c r="HQ62" s="15">
        <v>2</v>
      </c>
      <c r="HR62" s="15">
        <v>3</v>
      </c>
      <c r="HS62" s="15">
        <v>4</v>
      </c>
      <c r="HT62" s="15">
        <v>4</v>
      </c>
      <c r="HU62" s="15">
        <v>1</v>
      </c>
      <c r="HV62" s="15">
        <v>2</v>
      </c>
      <c r="HW62" s="15">
        <v>3.25</v>
      </c>
      <c r="HX62" s="15">
        <v>4.25</v>
      </c>
      <c r="HY62" s="15">
        <v>4.25</v>
      </c>
      <c r="HZ62" s="15">
        <v>4.25</v>
      </c>
      <c r="IA62" s="15">
        <v>3.75</v>
      </c>
      <c r="IB62" s="15">
        <v>4.25</v>
      </c>
      <c r="IC62" s="15">
        <v>3.75</v>
      </c>
      <c r="ID62" s="15">
        <v>2.25</v>
      </c>
      <c r="IE62" s="15">
        <v>1.75</v>
      </c>
      <c r="IF62" s="15">
        <v>3</v>
      </c>
      <c r="IG62" s="15">
        <v>2.75</v>
      </c>
      <c r="IH62" s="15">
        <v>2</v>
      </c>
      <c r="II62" s="15">
        <v>4.25</v>
      </c>
      <c r="IJ62" s="15">
        <v>3.75</v>
      </c>
      <c r="IK62" s="15">
        <v>3.25</v>
      </c>
      <c r="IL62" s="15">
        <v>2.75</v>
      </c>
      <c r="IM62" s="15">
        <v>3</v>
      </c>
      <c r="IN62" s="15">
        <v>4.25</v>
      </c>
      <c r="IO62" s="15">
        <v>2</v>
      </c>
      <c r="IP62" s="15">
        <v>3</v>
      </c>
      <c r="IQ62" s="15">
        <v>4.5</v>
      </c>
      <c r="IR62" s="15">
        <v>3.75</v>
      </c>
      <c r="IS62" s="15">
        <v>2.75</v>
      </c>
      <c r="IT62" s="15">
        <v>2.5</v>
      </c>
      <c r="IU62" s="15">
        <v>3</v>
      </c>
      <c r="IV62" s="15">
        <v>5</v>
      </c>
      <c r="IW62" s="15">
        <v>5</v>
      </c>
      <c r="IX62" s="15">
        <v>4.75</v>
      </c>
      <c r="IY62" s="15">
        <v>4</v>
      </c>
      <c r="IZ62" s="15">
        <v>4.75</v>
      </c>
    </row>
    <row r="63" spans="1:260" s="12" customFormat="1" x14ac:dyDescent="0.3">
      <c r="A63" s="15">
        <v>65</v>
      </c>
      <c r="B63" s="15" t="s">
        <v>469</v>
      </c>
      <c r="C63" s="16">
        <v>34</v>
      </c>
      <c r="D63" s="15" t="s">
        <v>288</v>
      </c>
      <c r="E63" s="15" t="s">
        <v>289</v>
      </c>
      <c r="F63" s="15" t="s">
        <v>260</v>
      </c>
      <c r="G63" s="15" t="s">
        <v>283</v>
      </c>
      <c r="H63" s="15" t="s">
        <v>354</v>
      </c>
      <c r="I63" s="15" t="s">
        <v>270</v>
      </c>
      <c r="J63" s="15" t="s">
        <v>398</v>
      </c>
      <c r="K63" s="15" t="s">
        <v>272</v>
      </c>
      <c r="L63" s="15" t="s">
        <v>281</v>
      </c>
      <c r="M63" s="15" t="s">
        <v>293</v>
      </c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>
        <v>1</v>
      </c>
      <c r="AA63" s="15">
        <f>0</f>
        <v>0</v>
      </c>
      <c r="AB63" s="15"/>
      <c r="AC63" s="15">
        <f>1.05</f>
        <v>1.05</v>
      </c>
      <c r="AD63" s="15">
        <v>0</v>
      </c>
      <c r="AE63" s="15">
        <f>2/2</f>
        <v>1</v>
      </c>
      <c r="AF63" s="15">
        <v>10.059786000000001</v>
      </c>
      <c r="AG63" s="15">
        <f>0</f>
        <v>0</v>
      </c>
      <c r="AH63" s="15">
        <v>0</v>
      </c>
      <c r="AI63" s="15"/>
      <c r="AJ63" s="15"/>
      <c r="AK63" s="15">
        <v>0</v>
      </c>
      <c r="AL63" s="15">
        <f>1/8</f>
        <v>0.125</v>
      </c>
      <c r="AM63" s="15">
        <v>18.611511</v>
      </c>
      <c r="AN63" s="15">
        <v>0.3075</v>
      </c>
      <c r="AO63" s="15"/>
      <c r="AP63" s="15"/>
      <c r="AQ63" s="15"/>
      <c r="AR63" s="15"/>
      <c r="AS63" s="15">
        <v>0</v>
      </c>
      <c r="AT63" s="15"/>
      <c r="AU63" s="15"/>
      <c r="AV63" s="15">
        <v>2</v>
      </c>
      <c r="AW63" s="15">
        <v>0</v>
      </c>
      <c r="AX63" s="15"/>
      <c r="AY63" s="15">
        <f>1.1*2</f>
        <v>2.2000000000000002</v>
      </c>
      <c r="AZ63" s="15">
        <v>0</v>
      </c>
      <c r="BA63" s="15">
        <f t="shared" si="20"/>
        <v>1</v>
      </c>
      <c r="BB63" s="15">
        <v>5.2669700000000006</v>
      </c>
      <c r="BC63" s="15">
        <v>0</v>
      </c>
      <c r="BD63" s="15">
        <v>0</v>
      </c>
      <c r="BE63" s="15"/>
      <c r="BF63" s="15"/>
      <c r="BG63" s="15"/>
      <c r="BH63" s="15"/>
      <c r="BI63" s="15"/>
      <c r="BJ63" s="15"/>
      <c r="BK63" s="15">
        <v>0</v>
      </c>
      <c r="BL63" s="15">
        <f t="shared" si="21"/>
        <v>1</v>
      </c>
      <c r="BM63" s="15">
        <v>14.124542999999999</v>
      </c>
      <c r="BN63" s="15">
        <v>0</v>
      </c>
      <c r="BO63" s="15"/>
      <c r="BP63" s="15"/>
      <c r="BQ63" s="15"/>
      <c r="BR63" s="15"/>
      <c r="BS63" s="15">
        <v>0</v>
      </c>
      <c r="BT63" s="15">
        <f t="shared" si="19"/>
        <v>1</v>
      </c>
      <c r="BU63" s="15">
        <v>13.919270000000001</v>
      </c>
      <c r="BV63" s="15">
        <v>0</v>
      </c>
      <c r="BW63" s="15">
        <v>1</v>
      </c>
      <c r="BX63" s="15">
        <v>1</v>
      </c>
      <c r="BY63" s="15">
        <f>3/6</f>
        <v>0.5</v>
      </c>
      <c r="BZ63" s="15"/>
      <c r="CA63" s="15"/>
      <c r="CB63" s="15"/>
      <c r="CC63" s="15"/>
      <c r="CD63" s="15">
        <v>0</v>
      </c>
      <c r="CE63" s="15">
        <f>1/2</f>
        <v>0.5</v>
      </c>
      <c r="CF63" s="15">
        <v>23.640937000000001</v>
      </c>
      <c r="CG63" s="15">
        <v>9.5000000000000001E-2</v>
      </c>
      <c r="CH63" s="15">
        <v>0</v>
      </c>
      <c r="CI63" s="15"/>
      <c r="CJ63" s="15"/>
      <c r="CK63" s="15">
        <f t="shared" si="12"/>
        <v>85.623017000000004</v>
      </c>
      <c r="CL63" s="15">
        <f>3/8</f>
        <v>0.375</v>
      </c>
      <c r="CM63" s="15">
        <v>2</v>
      </c>
      <c r="CN63" s="15">
        <v>1</v>
      </c>
      <c r="CO63" s="15">
        <f>Table1[[#This Row],[TotalTrapsRisked]]/5</f>
        <v>0.2</v>
      </c>
      <c r="CP63" s="15">
        <v>0</v>
      </c>
      <c r="CQ63" s="15">
        <v>0</v>
      </c>
      <c r="CR63" s="15">
        <v>0.14583333333333334</v>
      </c>
      <c r="CS63" s="15">
        <v>0.37272727272727274</v>
      </c>
      <c r="CT63" s="15">
        <v>0</v>
      </c>
      <c r="CU63" s="15">
        <v>183</v>
      </c>
      <c r="CV63" s="15">
        <v>410</v>
      </c>
      <c r="CW63" s="15">
        <v>0</v>
      </c>
      <c r="CX63" s="15"/>
      <c r="CY63" s="15"/>
      <c r="CZ63" s="15"/>
      <c r="DA63" s="15"/>
      <c r="DB63" s="15"/>
      <c r="DC63" s="15"/>
      <c r="DD63" s="15">
        <v>0</v>
      </c>
      <c r="DE63" s="15">
        <v>0</v>
      </c>
      <c r="DF63" s="15">
        <v>5</v>
      </c>
      <c r="DG63" s="15">
        <v>3</v>
      </c>
      <c r="DH63" s="15">
        <v>2</v>
      </c>
      <c r="DI63" s="15">
        <v>4</v>
      </c>
      <c r="DJ63" s="15">
        <v>3</v>
      </c>
      <c r="DK63" s="15">
        <v>1</v>
      </c>
      <c r="DL63" s="15">
        <v>2</v>
      </c>
      <c r="DM63" s="15">
        <v>5</v>
      </c>
      <c r="DN63" s="15">
        <v>3</v>
      </c>
      <c r="DO63" s="15">
        <v>1</v>
      </c>
      <c r="DP63" s="15">
        <v>3</v>
      </c>
      <c r="DQ63" s="15">
        <v>4</v>
      </c>
      <c r="DR63" s="15">
        <v>4</v>
      </c>
      <c r="DS63" s="15">
        <v>4</v>
      </c>
      <c r="DT63" s="15">
        <v>4</v>
      </c>
      <c r="DU63" s="15">
        <v>4</v>
      </c>
      <c r="DV63" s="15">
        <v>2</v>
      </c>
      <c r="DW63" s="15">
        <v>2</v>
      </c>
      <c r="DX63" s="15">
        <v>1</v>
      </c>
      <c r="DY63" s="15">
        <v>3</v>
      </c>
      <c r="DZ63" s="15">
        <v>4</v>
      </c>
      <c r="EA63" s="15">
        <v>4</v>
      </c>
      <c r="EB63" s="15">
        <v>3</v>
      </c>
      <c r="EC63" s="15">
        <v>1</v>
      </c>
      <c r="ED63" s="15">
        <v>2</v>
      </c>
      <c r="EE63" s="15">
        <v>4</v>
      </c>
      <c r="EF63" s="15">
        <v>3</v>
      </c>
      <c r="EG63" s="15">
        <v>4</v>
      </c>
      <c r="EH63" s="15">
        <v>5</v>
      </c>
      <c r="EI63" s="15">
        <v>2</v>
      </c>
      <c r="EJ63" s="15">
        <v>4</v>
      </c>
      <c r="EK63" s="15">
        <v>3</v>
      </c>
      <c r="EL63" s="15">
        <v>2</v>
      </c>
      <c r="EM63" s="15">
        <v>3</v>
      </c>
      <c r="EN63" s="15">
        <v>4</v>
      </c>
      <c r="EO63" s="15">
        <v>1</v>
      </c>
      <c r="EP63" s="15">
        <v>2</v>
      </c>
      <c r="EQ63" s="15">
        <v>4</v>
      </c>
      <c r="ER63" s="15">
        <v>2</v>
      </c>
      <c r="ES63" s="15">
        <v>5</v>
      </c>
      <c r="ET63" s="15">
        <v>2</v>
      </c>
      <c r="EU63" s="15">
        <v>2</v>
      </c>
      <c r="EV63" s="15">
        <v>4</v>
      </c>
      <c r="EW63" s="15">
        <v>4</v>
      </c>
      <c r="EX63" s="15">
        <v>4</v>
      </c>
      <c r="EY63" s="15">
        <v>5</v>
      </c>
      <c r="EZ63" s="15">
        <v>3</v>
      </c>
      <c r="FA63" s="15">
        <v>5</v>
      </c>
      <c r="FB63" s="15">
        <v>1</v>
      </c>
      <c r="FC63" s="15">
        <v>3</v>
      </c>
      <c r="FD63" s="15">
        <v>4</v>
      </c>
      <c r="FE63" s="15">
        <v>2</v>
      </c>
      <c r="FF63" s="15">
        <v>2</v>
      </c>
      <c r="FG63" s="15">
        <v>3</v>
      </c>
      <c r="FH63" s="15">
        <v>4</v>
      </c>
      <c r="FI63" s="15">
        <v>3</v>
      </c>
      <c r="FJ63" s="15">
        <v>4</v>
      </c>
      <c r="FK63" s="15">
        <v>5</v>
      </c>
      <c r="FL63" s="15">
        <v>5</v>
      </c>
      <c r="FM63" s="15">
        <v>2</v>
      </c>
      <c r="FN63" s="15">
        <v>4</v>
      </c>
      <c r="FO63" s="15">
        <v>3</v>
      </c>
      <c r="FP63" s="15">
        <v>3</v>
      </c>
      <c r="FQ63" s="15">
        <v>4</v>
      </c>
      <c r="FR63" s="15">
        <v>4</v>
      </c>
      <c r="FS63" s="15">
        <v>2</v>
      </c>
      <c r="FT63" s="15">
        <v>3</v>
      </c>
      <c r="FU63" s="15">
        <v>3</v>
      </c>
      <c r="FV63" s="15">
        <v>4</v>
      </c>
      <c r="FW63" s="15">
        <v>1</v>
      </c>
      <c r="FX63" s="15">
        <v>3</v>
      </c>
      <c r="FY63" s="15">
        <v>4</v>
      </c>
      <c r="FZ63" s="15">
        <v>3</v>
      </c>
      <c r="GA63" s="15">
        <v>3</v>
      </c>
      <c r="GB63" s="15">
        <v>1</v>
      </c>
      <c r="GC63" s="15">
        <v>1</v>
      </c>
      <c r="GD63" s="15">
        <v>4</v>
      </c>
      <c r="GE63" s="15">
        <v>2</v>
      </c>
      <c r="GF63" s="15">
        <v>4</v>
      </c>
      <c r="GG63" s="15">
        <v>1</v>
      </c>
      <c r="GH63" s="15">
        <v>3</v>
      </c>
      <c r="GI63" s="15">
        <v>4</v>
      </c>
      <c r="GJ63" s="15">
        <v>2</v>
      </c>
      <c r="GK63" s="15">
        <v>4</v>
      </c>
      <c r="GL63" s="15">
        <v>3</v>
      </c>
      <c r="GM63" s="15">
        <v>4</v>
      </c>
      <c r="GN63" s="15">
        <v>3</v>
      </c>
      <c r="GO63" s="15">
        <v>3</v>
      </c>
      <c r="GP63" s="15">
        <v>1</v>
      </c>
      <c r="GQ63" s="15">
        <v>1</v>
      </c>
      <c r="GR63" s="15">
        <v>3</v>
      </c>
      <c r="GS63" s="15">
        <v>4</v>
      </c>
      <c r="GT63" s="15">
        <v>3</v>
      </c>
      <c r="GU63" s="15">
        <v>4</v>
      </c>
      <c r="GV63" s="15">
        <v>2</v>
      </c>
      <c r="GW63" s="15">
        <v>3</v>
      </c>
      <c r="GX63" s="15">
        <v>4</v>
      </c>
      <c r="GY63" s="15">
        <v>5</v>
      </c>
      <c r="GZ63" s="15">
        <v>2</v>
      </c>
      <c r="HA63" s="15">
        <v>2</v>
      </c>
      <c r="HB63" s="15">
        <v>5</v>
      </c>
      <c r="HC63" s="15">
        <v>4</v>
      </c>
      <c r="HD63" s="15">
        <v>4</v>
      </c>
      <c r="HE63" s="15">
        <v>1</v>
      </c>
      <c r="HF63" s="15">
        <v>2</v>
      </c>
      <c r="HG63" s="15">
        <v>2</v>
      </c>
      <c r="HH63" s="15">
        <v>1</v>
      </c>
      <c r="HI63" s="15">
        <v>4</v>
      </c>
      <c r="HJ63" s="15">
        <v>4</v>
      </c>
      <c r="HK63" s="15">
        <v>1</v>
      </c>
      <c r="HL63" s="15">
        <v>2</v>
      </c>
      <c r="HM63" s="15">
        <v>4</v>
      </c>
      <c r="HN63" s="15">
        <v>1</v>
      </c>
      <c r="HO63" s="15">
        <v>3</v>
      </c>
      <c r="HP63" s="15">
        <v>2</v>
      </c>
      <c r="HQ63" s="15">
        <v>3</v>
      </c>
      <c r="HR63" s="15">
        <v>2</v>
      </c>
      <c r="HS63" s="15">
        <v>3</v>
      </c>
      <c r="HT63" s="15">
        <v>1</v>
      </c>
      <c r="HU63" s="15">
        <v>2</v>
      </c>
      <c r="HV63" s="15">
        <v>2</v>
      </c>
      <c r="HW63" s="15">
        <v>3.5</v>
      </c>
      <c r="HX63" s="15">
        <v>1.5</v>
      </c>
      <c r="HY63" s="15">
        <v>4.25</v>
      </c>
      <c r="HZ63" s="15">
        <v>3.25</v>
      </c>
      <c r="IA63" s="15">
        <v>2.75</v>
      </c>
      <c r="IB63" s="15">
        <v>3.75</v>
      </c>
      <c r="IC63" s="15">
        <v>4.25</v>
      </c>
      <c r="ID63" s="15">
        <v>1.5</v>
      </c>
      <c r="IE63" s="15">
        <v>2.75</v>
      </c>
      <c r="IF63" s="15">
        <v>4.5</v>
      </c>
      <c r="IG63" s="15">
        <v>2.5</v>
      </c>
      <c r="IH63" s="15">
        <v>3.5</v>
      </c>
      <c r="II63" s="15">
        <v>3</v>
      </c>
      <c r="IJ63" s="15">
        <v>2</v>
      </c>
      <c r="IK63" s="15">
        <v>2.75</v>
      </c>
      <c r="IL63" s="15">
        <v>2.25</v>
      </c>
      <c r="IM63" s="15">
        <v>2.25</v>
      </c>
      <c r="IN63" s="15">
        <v>3.25</v>
      </c>
      <c r="IO63" s="15">
        <v>2.75</v>
      </c>
      <c r="IP63" s="15">
        <v>4</v>
      </c>
      <c r="IQ63" s="15">
        <v>4</v>
      </c>
      <c r="IR63" s="15">
        <v>1.75</v>
      </c>
      <c r="IS63" s="15">
        <v>3</v>
      </c>
      <c r="IT63" s="15">
        <v>4.75</v>
      </c>
      <c r="IU63" s="15">
        <v>3.75</v>
      </c>
      <c r="IV63" s="15">
        <v>4</v>
      </c>
      <c r="IW63" s="15">
        <v>4.25</v>
      </c>
      <c r="IX63" s="15">
        <v>5</v>
      </c>
      <c r="IY63" s="15">
        <v>3.75</v>
      </c>
      <c r="IZ63" s="15">
        <v>4.75</v>
      </c>
    </row>
    <row r="64" spans="1:260" s="12" customFormat="1" x14ac:dyDescent="0.3">
      <c r="A64" s="15">
        <v>66</v>
      </c>
      <c r="B64" s="15" t="s">
        <v>469</v>
      </c>
      <c r="C64" s="16">
        <v>38</v>
      </c>
      <c r="D64" s="15" t="s">
        <v>288</v>
      </c>
      <c r="E64" s="15" t="s">
        <v>289</v>
      </c>
      <c r="F64" s="15" t="s">
        <v>260</v>
      </c>
      <c r="G64" s="15" t="s">
        <v>283</v>
      </c>
      <c r="H64" s="15" t="s">
        <v>354</v>
      </c>
      <c r="I64" s="15" t="s">
        <v>270</v>
      </c>
      <c r="J64" s="15" t="s">
        <v>399</v>
      </c>
      <c r="K64" s="15" t="s">
        <v>307</v>
      </c>
      <c r="L64" s="15" t="s">
        <v>281</v>
      </c>
      <c r="M64" s="15" t="s">
        <v>400</v>
      </c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>
        <v>0</v>
      </c>
      <c r="AE64" s="15">
        <f>2/2</f>
        <v>1</v>
      </c>
      <c r="AF64" s="15">
        <v>14.036716</v>
      </c>
      <c r="AG64" s="15">
        <v>0</v>
      </c>
      <c r="AH64" s="15">
        <v>0</v>
      </c>
      <c r="AI64" s="15"/>
      <c r="AJ64" s="15"/>
      <c r="AK64" s="15">
        <v>5</v>
      </c>
      <c r="AL64" s="15">
        <f>3/8</f>
        <v>0.375</v>
      </c>
      <c r="AM64" s="15"/>
      <c r="AN64" s="15">
        <v>4.7</v>
      </c>
      <c r="AO64" s="15">
        <v>0</v>
      </c>
      <c r="AP64" s="15">
        <f>1/3</f>
        <v>0.33333333333333331</v>
      </c>
      <c r="AQ64" s="15">
        <v>7.7035130000000001</v>
      </c>
      <c r="AR64" s="15">
        <v>0.42499999999999999</v>
      </c>
      <c r="AS64" s="15">
        <v>0</v>
      </c>
      <c r="AT64" s="15"/>
      <c r="AU64" s="15"/>
      <c r="AV64" s="15"/>
      <c r="AW64" s="15"/>
      <c r="AX64" s="15"/>
      <c r="AY64" s="15"/>
      <c r="AZ64" s="15">
        <v>0</v>
      </c>
      <c r="BA64" s="15">
        <f t="shared" si="20"/>
        <v>1</v>
      </c>
      <c r="BB64" s="15">
        <v>9.3062639999999988</v>
      </c>
      <c r="BC64" s="15">
        <f>0</f>
        <v>0</v>
      </c>
      <c r="BD64" s="15">
        <v>0</v>
      </c>
      <c r="BE64" s="15"/>
      <c r="BF64" s="15"/>
      <c r="BG64" s="15"/>
      <c r="BH64" s="15"/>
      <c r="BI64" s="15"/>
      <c r="BJ64" s="15"/>
      <c r="BK64" s="15">
        <v>0</v>
      </c>
      <c r="BL64" s="15">
        <f t="shared" si="21"/>
        <v>1</v>
      </c>
      <c r="BM64" s="15">
        <v>12.032763999999998</v>
      </c>
      <c r="BN64" s="15">
        <f>0</f>
        <v>0</v>
      </c>
      <c r="BO64" s="15"/>
      <c r="BP64" s="15"/>
      <c r="BQ64" s="15"/>
      <c r="BR64" s="15"/>
      <c r="BS64" s="15">
        <v>0</v>
      </c>
      <c r="BT64" s="15">
        <f>1/2</f>
        <v>0.5</v>
      </c>
      <c r="BU64" s="15">
        <v>13.639168</v>
      </c>
      <c r="BV64" s="15">
        <f>0</f>
        <v>0</v>
      </c>
      <c r="BW64" s="15">
        <v>0</v>
      </c>
      <c r="BX64" s="15"/>
      <c r="BY64" s="15"/>
      <c r="BZ64" s="15"/>
      <c r="CA64" s="15"/>
      <c r="CB64" s="15"/>
      <c r="CC64" s="15"/>
      <c r="CD64" s="15">
        <v>0</v>
      </c>
      <c r="CE64" s="15">
        <f>2/2</f>
        <v>1</v>
      </c>
      <c r="CF64" s="15">
        <v>18.552606999999998</v>
      </c>
      <c r="CG64" s="15">
        <v>6.5000000000000002E-2</v>
      </c>
      <c r="CH64" s="15">
        <v>0</v>
      </c>
      <c r="CI64" s="15"/>
      <c r="CJ64" s="15"/>
      <c r="CK64" s="15">
        <f t="shared" si="12"/>
        <v>75.271031999999991</v>
      </c>
      <c r="CL64" s="15">
        <f>1/8</f>
        <v>0.125</v>
      </c>
      <c r="CM64" s="15">
        <v>1</v>
      </c>
      <c r="CN64" s="15">
        <v>0</v>
      </c>
      <c r="CO64" s="15">
        <f>Table1[[#This Row],[TotalTrapsRisked]]/5</f>
        <v>0</v>
      </c>
      <c r="CP64" s="15">
        <v>0</v>
      </c>
      <c r="CQ64" s="15">
        <v>0</v>
      </c>
      <c r="CR64" s="15">
        <v>0.10416666666666667</v>
      </c>
      <c r="CS64" s="15">
        <v>0.2</v>
      </c>
      <c r="CT64" s="15">
        <v>0</v>
      </c>
      <c r="CU64" s="15">
        <v>116</v>
      </c>
      <c r="CV64" s="15">
        <v>220</v>
      </c>
      <c r="CW64" s="15">
        <v>0</v>
      </c>
      <c r="CX64" s="15"/>
      <c r="CY64" s="15"/>
      <c r="CZ64" s="15"/>
      <c r="DA64" s="15"/>
      <c r="DB64" s="15"/>
      <c r="DC64" s="15"/>
      <c r="DD64" s="15">
        <v>0</v>
      </c>
      <c r="DE64" s="15">
        <v>0</v>
      </c>
      <c r="DF64" s="15">
        <v>4</v>
      </c>
      <c r="DG64" s="15">
        <v>4</v>
      </c>
      <c r="DH64" s="15">
        <v>4</v>
      </c>
      <c r="DI64" s="15">
        <v>4</v>
      </c>
      <c r="DJ64" s="15">
        <v>4</v>
      </c>
      <c r="DK64" s="15">
        <v>2</v>
      </c>
      <c r="DL64" s="15">
        <v>1</v>
      </c>
      <c r="DM64" s="15">
        <v>4</v>
      </c>
      <c r="DN64" s="15">
        <v>1</v>
      </c>
      <c r="DO64" s="15">
        <v>4</v>
      </c>
      <c r="DP64" s="15">
        <v>2</v>
      </c>
      <c r="DQ64" s="15">
        <v>4</v>
      </c>
      <c r="DR64" s="15">
        <v>2</v>
      </c>
      <c r="DS64" s="15">
        <v>3</v>
      </c>
      <c r="DT64" s="15">
        <v>5</v>
      </c>
      <c r="DU64" s="15">
        <v>5</v>
      </c>
      <c r="DV64" s="15">
        <v>2</v>
      </c>
      <c r="DW64" s="15">
        <v>3</v>
      </c>
      <c r="DX64" s="15">
        <v>1</v>
      </c>
      <c r="DY64" s="15">
        <v>4</v>
      </c>
      <c r="DZ64" s="15">
        <v>2</v>
      </c>
      <c r="EA64" s="15">
        <v>4</v>
      </c>
      <c r="EB64" s="15">
        <v>3</v>
      </c>
      <c r="EC64" s="15">
        <v>1</v>
      </c>
      <c r="ED64" s="15">
        <v>2</v>
      </c>
      <c r="EE64" s="15">
        <v>1</v>
      </c>
      <c r="EF64" s="15">
        <v>2</v>
      </c>
      <c r="EG64" s="15">
        <v>4</v>
      </c>
      <c r="EH64" s="15">
        <v>4</v>
      </c>
      <c r="EI64" s="15">
        <v>2</v>
      </c>
      <c r="EJ64" s="15">
        <v>2</v>
      </c>
      <c r="EK64" s="15">
        <v>4</v>
      </c>
      <c r="EL64" s="15">
        <v>2</v>
      </c>
      <c r="EM64" s="15">
        <v>4</v>
      </c>
      <c r="EN64" s="15">
        <v>4</v>
      </c>
      <c r="EO64" s="15">
        <v>2</v>
      </c>
      <c r="EP64" s="15">
        <v>1</v>
      </c>
      <c r="EQ64" s="15">
        <v>4</v>
      </c>
      <c r="ER64" s="15">
        <v>1</v>
      </c>
      <c r="ES64" s="15">
        <v>2</v>
      </c>
      <c r="ET64" s="15">
        <v>2</v>
      </c>
      <c r="EU64" s="15">
        <v>2</v>
      </c>
      <c r="EV64" s="15">
        <v>4</v>
      </c>
      <c r="EW64" s="15">
        <v>5</v>
      </c>
      <c r="EX64" s="15">
        <v>5</v>
      </c>
      <c r="EY64" s="15">
        <v>4</v>
      </c>
      <c r="EZ64" s="15">
        <v>3</v>
      </c>
      <c r="FA64" s="15">
        <v>2</v>
      </c>
      <c r="FB64" s="15">
        <v>2</v>
      </c>
      <c r="FC64" s="15">
        <v>4</v>
      </c>
      <c r="FD64" s="15">
        <v>2</v>
      </c>
      <c r="FE64" s="15">
        <v>4</v>
      </c>
      <c r="FF64" s="15">
        <v>5</v>
      </c>
      <c r="FG64" s="15">
        <v>4</v>
      </c>
      <c r="FH64" s="15">
        <v>4</v>
      </c>
      <c r="FI64" s="15">
        <v>2</v>
      </c>
      <c r="FJ64" s="15">
        <v>3</v>
      </c>
      <c r="FK64" s="15">
        <v>4</v>
      </c>
      <c r="FL64" s="15">
        <v>4</v>
      </c>
      <c r="FM64" s="15">
        <v>2</v>
      </c>
      <c r="FN64" s="15">
        <v>2</v>
      </c>
      <c r="FO64" s="15">
        <v>3</v>
      </c>
      <c r="FP64" s="15">
        <v>2</v>
      </c>
      <c r="FQ64" s="15">
        <v>4</v>
      </c>
      <c r="FR64" s="15">
        <v>2</v>
      </c>
      <c r="FS64" s="15">
        <v>4</v>
      </c>
      <c r="FT64" s="15">
        <v>2</v>
      </c>
      <c r="FU64" s="15">
        <v>4</v>
      </c>
      <c r="FV64" s="15">
        <v>4</v>
      </c>
      <c r="FW64" s="15">
        <v>2</v>
      </c>
      <c r="FX64" s="15">
        <v>2</v>
      </c>
      <c r="FY64" s="15">
        <v>2</v>
      </c>
      <c r="FZ64" s="15">
        <v>4</v>
      </c>
      <c r="GA64" s="15">
        <v>2</v>
      </c>
      <c r="GB64" s="15">
        <v>2</v>
      </c>
      <c r="GC64" s="15">
        <v>2</v>
      </c>
      <c r="GD64" s="15">
        <v>4</v>
      </c>
      <c r="GE64" s="15">
        <v>2</v>
      </c>
      <c r="GF64" s="15">
        <v>2</v>
      </c>
      <c r="GG64" s="15">
        <v>1</v>
      </c>
      <c r="GH64" s="15">
        <v>2</v>
      </c>
      <c r="GI64" s="15">
        <v>2</v>
      </c>
      <c r="GJ64" s="15">
        <v>2</v>
      </c>
      <c r="GK64" s="15">
        <v>2</v>
      </c>
      <c r="GL64" s="15">
        <v>4</v>
      </c>
      <c r="GM64" s="15">
        <v>4</v>
      </c>
      <c r="GN64" s="15">
        <v>2</v>
      </c>
      <c r="GO64" s="15">
        <v>4</v>
      </c>
      <c r="GP64" s="15">
        <v>2</v>
      </c>
      <c r="GQ64" s="15">
        <v>2</v>
      </c>
      <c r="GR64" s="15">
        <v>2</v>
      </c>
      <c r="GS64" s="15">
        <v>4</v>
      </c>
      <c r="GT64" s="15">
        <v>2</v>
      </c>
      <c r="GU64" s="15">
        <v>2</v>
      </c>
      <c r="GV64" s="15">
        <v>2</v>
      </c>
      <c r="GW64" s="15">
        <v>4</v>
      </c>
      <c r="GX64" s="15">
        <v>4</v>
      </c>
      <c r="GY64" s="15">
        <v>5</v>
      </c>
      <c r="GZ64" s="15">
        <v>4</v>
      </c>
      <c r="HA64" s="15">
        <v>2</v>
      </c>
      <c r="HB64" s="15">
        <v>2</v>
      </c>
      <c r="HC64" s="15">
        <v>4</v>
      </c>
      <c r="HD64" s="15">
        <v>4</v>
      </c>
      <c r="HE64" s="15">
        <v>1</v>
      </c>
      <c r="HF64" s="15">
        <v>2</v>
      </c>
      <c r="HG64" s="15">
        <v>2</v>
      </c>
      <c r="HH64" s="15">
        <v>1</v>
      </c>
      <c r="HI64" s="15">
        <v>4</v>
      </c>
      <c r="HJ64" s="15">
        <v>3</v>
      </c>
      <c r="HK64" s="15">
        <v>2</v>
      </c>
      <c r="HL64" s="15">
        <v>1</v>
      </c>
      <c r="HM64" s="15">
        <v>4</v>
      </c>
      <c r="HN64" s="15">
        <v>1</v>
      </c>
      <c r="HO64" s="15">
        <v>4</v>
      </c>
      <c r="HP64" s="15">
        <v>4</v>
      </c>
      <c r="HQ64" s="15">
        <v>2</v>
      </c>
      <c r="HR64" s="15">
        <v>2</v>
      </c>
      <c r="HS64" s="15">
        <v>5</v>
      </c>
      <c r="HT64" s="15">
        <v>2</v>
      </c>
      <c r="HU64" s="15">
        <v>2</v>
      </c>
      <c r="HV64" s="15">
        <v>2</v>
      </c>
      <c r="HW64" s="15">
        <v>3.5</v>
      </c>
      <c r="HX64" s="15">
        <v>4</v>
      </c>
      <c r="HY64" s="15">
        <v>4.5</v>
      </c>
      <c r="HZ64" s="15">
        <v>4.25</v>
      </c>
      <c r="IA64" s="15">
        <v>3</v>
      </c>
      <c r="IB64" s="15">
        <v>4</v>
      </c>
      <c r="IC64" s="15">
        <v>3</v>
      </c>
      <c r="ID64" s="15">
        <v>2.5</v>
      </c>
      <c r="IE64" s="15">
        <v>2</v>
      </c>
      <c r="IF64" s="15">
        <v>4.5</v>
      </c>
      <c r="IG64" s="15">
        <v>3</v>
      </c>
      <c r="IH64" s="15">
        <v>2.25</v>
      </c>
      <c r="II64" s="15">
        <v>3.75</v>
      </c>
      <c r="IJ64" s="15">
        <v>1.75</v>
      </c>
      <c r="IK64" s="15">
        <v>3</v>
      </c>
      <c r="IL64" s="15">
        <v>2.25</v>
      </c>
      <c r="IM64" s="15">
        <v>2.75</v>
      </c>
      <c r="IN64" s="15">
        <v>3.5</v>
      </c>
      <c r="IO64" s="15">
        <v>2.5</v>
      </c>
      <c r="IP64" s="15">
        <v>3</v>
      </c>
      <c r="IQ64" s="15">
        <v>3.75</v>
      </c>
      <c r="IR64" s="15">
        <v>3.5</v>
      </c>
      <c r="IS64" s="15">
        <v>2.5</v>
      </c>
      <c r="IT64" s="15">
        <v>4</v>
      </c>
      <c r="IU64" s="15">
        <v>4</v>
      </c>
      <c r="IV64" s="15">
        <v>4.5</v>
      </c>
      <c r="IW64" s="15">
        <v>4</v>
      </c>
      <c r="IX64" s="15">
        <v>4.5</v>
      </c>
      <c r="IY64" s="15">
        <v>2.75</v>
      </c>
      <c r="IZ64" s="15">
        <v>4</v>
      </c>
    </row>
    <row r="65" spans="1:260" s="12" customFormat="1" x14ac:dyDescent="0.3">
      <c r="A65" s="15">
        <v>68</v>
      </c>
      <c r="B65" s="15" t="s">
        <v>469</v>
      </c>
      <c r="C65" s="16">
        <v>20</v>
      </c>
      <c r="D65" s="15" t="s">
        <v>258</v>
      </c>
      <c r="E65" s="15" t="s">
        <v>289</v>
      </c>
      <c r="F65" s="15" t="s">
        <v>260</v>
      </c>
      <c r="G65" s="15" t="s">
        <v>268</v>
      </c>
      <c r="H65" s="15" t="s">
        <v>269</v>
      </c>
      <c r="I65" s="15" t="s">
        <v>280</v>
      </c>
      <c r="J65" s="15" t="s">
        <v>280</v>
      </c>
      <c r="K65" s="15" t="s">
        <v>272</v>
      </c>
      <c r="L65" s="15" t="s">
        <v>286</v>
      </c>
      <c r="M65" s="15" t="s">
        <v>401</v>
      </c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>
        <v>0</v>
      </c>
      <c r="AE65" s="15">
        <f>2/2</f>
        <v>1</v>
      </c>
      <c r="AF65" s="15">
        <v>16.351680999999999</v>
      </c>
      <c r="AG65" s="15">
        <f>0</f>
        <v>0</v>
      </c>
      <c r="AH65" s="15">
        <v>1</v>
      </c>
      <c r="AI65" s="15">
        <v>0</v>
      </c>
      <c r="AJ65" s="15">
        <f>3/5</f>
        <v>0.6</v>
      </c>
      <c r="AK65" s="15">
        <v>3</v>
      </c>
      <c r="AL65" s="15">
        <f>AVERAGE(2,2,0)/8</f>
        <v>0.16666666666666666</v>
      </c>
      <c r="AM65" s="15"/>
      <c r="AN65" s="15">
        <f>1.1*3</f>
        <v>3.3000000000000003</v>
      </c>
      <c r="AO65" s="15">
        <v>0</v>
      </c>
      <c r="AP65" s="15">
        <f>3/3</f>
        <v>1</v>
      </c>
      <c r="AQ65" s="15">
        <v>8.3023349999999994</v>
      </c>
      <c r="AR65" s="15">
        <v>3.2500000000000001E-2</v>
      </c>
      <c r="AS65" s="15">
        <v>0</v>
      </c>
      <c r="AT65" s="15"/>
      <c r="AU65" s="15"/>
      <c r="AV65" s="15"/>
      <c r="AW65" s="15"/>
      <c r="AX65" s="15"/>
      <c r="AY65" s="15"/>
      <c r="AZ65" s="15">
        <v>0</v>
      </c>
      <c r="BA65" s="15">
        <f t="shared" si="20"/>
        <v>1</v>
      </c>
      <c r="BB65" s="15">
        <v>7.7969280000000003</v>
      </c>
      <c r="BC65" s="15">
        <f>0</f>
        <v>0</v>
      </c>
      <c r="BD65" s="15">
        <v>0</v>
      </c>
      <c r="BE65" s="15"/>
      <c r="BF65" s="15"/>
      <c r="BG65" s="15">
        <v>1</v>
      </c>
      <c r="BH65" s="15">
        <f>3/5</f>
        <v>0.6</v>
      </c>
      <c r="BI65" s="15">
        <v>36.969004999999996</v>
      </c>
      <c r="BJ65" s="15">
        <v>1.2</v>
      </c>
      <c r="BK65" s="15">
        <v>0</v>
      </c>
      <c r="BL65" s="15">
        <f t="shared" si="21"/>
        <v>1</v>
      </c>
      <c r="BM65" s="15">
        <v>9.416735000000001</v>
      </c>
      <c r="BN65" s="15">
        <f>0</f>
        <v>0</v>
      </c>
      <c r="BO65" s="15"/>
      <c r="BP65" s="15"/>
      <c r="BQ65" s="15"/>
      <c r="BR65" s="15"/>
      <c r="BS65" s="15">
        <v>0</v>
      </c>
      <c r="BT65" s="15">
        <f>2/2</f>
        <v>1</v>
      </c>
      <c r="BU65" s="15">
        <v>7.8210649999999999</v>
      </c>
      <c r="BV65" s="15">
        <v>0</v>
      </c>
      <c r="BW65" s="15">
        <v>0</v>
      </c>
      <c r="BX65" s="15"/>
      <c r="BY65" s="15"/>
      <c r="BZ65" s="15">
        <v>8</v>
      </c>
      <c r="CA65" s="15">
        <f>3/5</f>
        <v>0.6</v>
      </c>
      <c r="CB65" s="15"/>
      <c r="CC65" s="15">
        <f>1.05*8</f>
        <v>8.4</v>
      </c>
      <c r="CD65" s="15">
        <v>0</v>
      </c>
      <c r="CE65" s="15">
        <f>2/2</f>
        <v>1</v>
      </c>
      <c r="CF65" s="15">
        <v>14.272242</v>
      </c>
      <c r="CG65" s="15">
        <v>0.105</v>
      </c>
      <c r="CH65" s="15">
        <v>0</v>
      </c>
      <c r="CI65" s="15"/>
      <c r="CJ65" s="15"/>
      <c r="CK65" s="15">
        <f t="shared" si="12"/>
        <v>100.92999100000002</v>
      </c>
      <c r="CL65" s="15">
        <f>3/8</f>
        <v>0.375</v>
      </c>
      <c r="CM65" s="15">
        <v>2</v>
      </c>
      <c r="CN65" s="15">
        <v>1</v>
      </c>
      <c r="CO65" s="15">
        <f>Table1[[#This Row],[TotalTrapsRisked]]/5</f>
        <v>0.2</v>
      </c>
      <c r="CP65" s="15">
        <v>0</v>
      </c>
      <c r="CQ65" s="15">
        <v>0</v>
      </c>
      <c r="CR65" s="15">
        <v>0.1875</v>
      </c>
      <c r="CS65" s="15">
        <v>0.3</v>
      </c>
      <c r="CT65" s="15">
        <v>0</v>
      </c>
      <c r="CU65" s="15">
        <v>134</v>
      </c>
      <c r="CV65" s="15">
        <v>330</v>
      </c>
      <c r="CW65" s="15">
        <v>0</v>
      </c>
      <c r="CX65" s="15">
        <v>0.95833333333333337</v>
      </c>
      <c r="CY65" s="15">
        <v>0.98181818181818181</v>
      </c>
      <c r="CZ65" s="15">
        <v>2</v>
      </c>
      <c r="DA65" s="15">
        <v>300</v>
      </c>
      <c r="DB65" s="15">
        <v>1280</v>
      </c>
      <c r="DC65" s="15">
        <v>2</v>
      </c>
      <c r="DD65" s="15">
        <v>1</v>
      </c>
      <c r="DE65" s="15">
        <v>0</v>
      </c>
      <c r="DF65" s="15">
        <v>5</v>
      </c>
      <c r="DG65" s="15">
        <v>2</v>
      </c>
      <c r="DH65" s="15">
        <v>2</v>
      </c>
      <c r="DI65" s="15">
        <v>4</v>
      </c>
      <c r="DJ65" s="15">
        <v>4</v>
      </c>
      <c r="DK65" s="15">
        <v>1</v>
      </c>
      <c r="DL65" s="15">
        <v>3</v>
      </c>
      <c r="DM65" s="15">
        <v>4</v>
      </c>
      <c r="DN65" s="15">
        <v>1</v>
      </c>
      <c r="DO65" s="15">
        <v>3</v>
      </c>
      <c r="DP65" s="15">
        <v>3</v>
      </c>
      <c r="DQ65" s="15">
        <v>4</v>
      </c>
      <c r="DR65" s="15">
        <v>4</v>
      </c>
      <c r="DS65" s="15">
        <v>5</v>
      </c>
      <c r="DT65" s="15">
        <v>4</v>
      </c>
      <c r="DU65" s="15">
        <v>5</v>
      </c>
      <c r="DV65" s="15">
        <v>5</v>
      </c>
      <c r="DW65" s="15">
        <v>5</v>
      </c>
      <c r="DX65" s="15">
        <v>3</v>
      </c>
      <c r="DY65" s="15">
        <v>5</v>
      </c>
      <c r="DZ65" s="15">
        <v>3</v>
      </c>
      <c r="EA65" s="15">
        <v>5</v>
      </c>
      <c r="EB65" s="15">
        <v>2</v>
      </c>
      <c r="EC65" s="15">
        <v>2</v>
      </c>
      <c r="ED65" s="15">
        <v>4</v>
      </c>
      <c r="EE65" s="15">
        <v>2</v>
      </c>
      <c r="EF65" s="15">
        <v>3</v>
      </c>
      <c r="EG65" s="15">
        <v>4</v>
      </c>
      <c r="EH65" s="15">
        <v>5</v>
      </c>
      <c r="EI65" s="15">
        <v>4</v>
      </c>
      <c r="EJ65" s="15">
        <v>5</v>
      </c>
      <c r="EK65" s="15">
        <v>3</v>
      </c>
      <c r="EL65" s="15">
        <v>4</v>
      </c>
      <c r="EM65" s="15">
        <v>4</v>
      </c>
      <c r="EN65" s="15">
        <v>3</v>
      </c>
      <c r="EO65" s="15">
        <v>1</v>
      </c>
      <c r="EP65" s="15">
        <v>1</v>
      </c>
      <c r="EQ65" s="15">
        <v>3</v>
      </c>
      <c r="ER65" s="15">
        <v>1</v>
      </c>
      <c r="ES65" s="15">
        <v>4</v>
      </c>
      <c r="ET65" s="15">
        <v>2</v>
      </c>
      <c r="EU65" s="15">
        <v>2</v>
      </c>
      <c r="EV65" s="15">
        <v>4</v>
      </c>
      <c r="EW65" s="15">
        <v>5</v>
      </c>
      <c r="EX65" s="15">
        <v>4</v>
      </c>
      <c r="EY65" s="15">
        <v>4</v>
      </c>
      <c r="EZ65" s="15">
        <v>3</v>
      </c>
      <c r="FA65" s="15">
        <v>5</v>
      </c>
      <c r="FB65" s="15">
        <v>1</v>
      </c>
      <c r="FC65" s="15">
        <v>2</v>
      </c>
      <c r="FD65" s="15">
        <v>2</v>
      </c>
      <c r="FE65" s="15">
        <v>4</v>
      </c>
      <c r="FF65" s="15">
        <v>3</v>
      </c>
      <c r="FG65" s="15">
        <v>2</v>
      </c>
      <c r="FH65" s="15">
        <v>4</v>
      </c>
      <c r="FI65" s="15">
        <v>2</v>
      </c>
      <c r="FJ65" s="15">
        <v>4</v>
      </c>
      <c r="FK65" s="15">
        <v>4</v>
      </c>
      <c r="FL65" s="15">
        <v>4</v>
      </c>
      <c r="FM65" s="15">
        <v>5</v>
      </c>
      <c r="FN65" s="15">
        <v>5</v>
      </c>
      <c r="FO65" s="15">
        <v>4</v>
      </c>
      <c r="FP65" s="15">
        <v>4</v>
      </c>
      <c r="FQ65" s="15">
        <v>4</v>
      </c>
      <c r="FR65" s="15">
        <v>4</v>
      </c>
      <c r="FS65" s="15">
        <v>2</v>
      </c>
      <c r="FT65" s="15">
        <v>1</v>
      </c>
      <c r="FU65" s="15">
        <v>4</v>
      </c>
      <c r="FV65" s="15">
        <v>4</v>
      </c>
      <c r="FW65" s="15">
        <v>1</v>
      </c>
      <c r="FX65" s="15">
        <v>4</v>
      </c>
      <c r="FY65" s="15">
        <v>2</v>
      </c>
      <c r="FZ65" s="15">
        <v>1</v>
      </c>
      <c r="GA65" s="15">
        <v>2</v>
      </c>
      <c r="GB65" s="15">
        <v>1</v>
      </c>
      <c r="GC65" s="15">
        <v>1</v>
      </c>
      <c r="GD65" s="15">
        <v>5</v>
      </c>
      <c r="GE65" s="15">
        <v>4</v>
      </c>
      <c r="GF65" s="15">
        <v>5</v>
      </c>
      <c r="GG65" s="15">
        <v>1</v>
      </c>
      <c r="GH65" s="15">
        <v>2</v>
      </c>
      <c r="GI65" s="15">
        <v>2</v>
      </c>
      <c r="GJ65" s="15">
        <v>2</v>
      </c>
      <c r="GK65" s="15">
        <v>5</v>
      </c>
      <c r="GL65" s="15">
        <v>3</v>
      </c>
      <c r="GM65" s="15">
        <v>1</v>
      </c>
      <c r="GN65" s="15">
        <v>4</v>
      </c>
      <c r="GO65" s="15">
        <v>4</v>
      </c>
      <c r="GP65" s="15">
        <v>1</v>
      </c>
      <c r="GQ65" s="15">
        <v>1</v>
      </c>
      <c r="GR65" s="15">
        <v>4</v>
      </c>
      <c r="GS65" s="15">
        <v>2</v>
      </c>
      <c r="GT65" s="15">
        <v>1</v>
      </c>
      <c r="GU65" s="15">
        <v>4</v>
      </c>
      <c r="GV65" s="15">
        <v>1</v>
      </c>
      <c r="GW65" s="15">
        <v>4</v>
      </c>
      <c r="GX65" s="15">
        <v>5</v>
      </c>
      <c r="GY65" s="15">
        <v>5</v>
      </c>
      <c r="GZ65" s="15">
        <v>3</v>
      </c>
      <c r="HA65" s="15">
        <v>1</v>
      </c>
      <c r="HB65" s="15">
        <v>3</v>
      </c>
      <c r="HC65" s="15">
        <v>4</v>
      </c>
      <c r="HD65" s="15">
        <v>4</v>
      </c>
      <c r="HE65" s="15">
        <v>1</v>
      </c>
      <c r="HF65" s="15">
        <v>2</v>
      </c>
      <c r="HG65" s="15">
        <v>3</v>
      </c>
      <c r="HH65" s="15">
        <v>1</v>
      </c>
      <c r="HI65" s="15">
        <v>5</v>
      </c>
      <c r="HJ65" s="15">
        <v>4</v>
      </c>
      <c r="HK65" s="15">
        <v>1</v>
      </c>
      <c r="HL65" s="15">
        <v>2</v>
      </c>
      <c r="HM65" s="15">
        <v>4</v>
      </c>
      <c r="HN65" s="15">
        <v>1</v>
      </c>
      <c r="HO65" s="15">
        <v>2</v>
      </c>
      <c r="HP65" s="15">
        <v>2</v>
      </c>
      <c r="HQ65" s="15">
        <v>1</v>
      </c>
      <c r="HR65" s="15">
        <v>3</v>
      </c>
      <c r="HS65" s="15">
        <v>4</v>
      </c>
      <c r="HT65" s="15">
        <v>2</v>
      </c>
      <c r="HU65" s="15">
        <v>1</v>
      </c>
      <c r="HV65" s="15">
        <v>4</v>
      </c>
      <c r="HW65" s="15">
        <v>3.75</v>
      </c>
      <c r="HX65" s="15">
        <v>2.5</v>
      </c>
      <c r="HY65" s="15">
        <v>4</v>
      </c>
      <c r="HZ65" s="15">
        <v>3.75</v>
      </c>
      <c r="IA65" s="15">
        <v>4.5</v>
      </c>
      <c r="IB65" s="15">
        <v>1.75</v>
      </c>
      <c r="IC65" s="15">
        <v>4.25</v>
      </c>
      <c r="ID65" s="15">
        <v>1.25</v>
      </c>
      <c r="IE65" s="15">
        <v>2.25</v>
      </c>
      <c r="IF65" s="15">
        <v>4.75</v>
      </c>
      <c r="IG65" s="15">
        <v>3.25</v>
      </c>
      <c r="IH65" s="15">
        <v>2.75</v>
      </c>
      <c r="II65" s="15">
        <v>3</v>
      </c>
      <c r="IJ65" s="15">
        <v>2.5</v>
      </c>
      <c r="IK65" s="15">
        <v>2.25</v>
      </c>
      <c r="IL65" s="15">
        <v>3.25</v>
      </c>
      <c r="IM65" s="15">
        <v>3</v>
      </c>
      <c r="IN65" s="15">
        <v>3.75</v>
      </c>
      <c r="IO65" s="15">
        <v>3.5</v>
      </c>
      <c r="IP65" s="15">
        <v>3</v>
      </c>
      <c r="IQ65" s="15">
        <v>4.25</v>
      </c>
      <c r="IR65" s="15">
        <v>2.25</v>
      </c>
      <c r="IS65" s="15">
        <v>2.5</v>
      </c>
      <c r="IT65" s="15">
        <v>4.25</v>
      </c>
      <c r="IU65" s="15">
        <v>4.25</v>
      </c>
      <c r="IV65" s="15">
        <v>5</v>
      </c>
      <c r="IW65" s="15">
        <v>4.75</v>
      </c>
      <c r="IX65" s="15">
        <v>4.5</v>
      </c>
      <c r="IY65" s="15">
        <v>3.75</v>
      </c>
      <c r="IZ65" s="15">
        <v>4.75</v>
      </c>
    </row>
    <row r="66" spans="1:260" s="12" customFormat="1" x14ac:dyDescent="0.3">
      <c r="A66" s="15">
        <v>69</v>
      </c>
      <c r="B66" s="15" t="s">
        <v>469</v>
      </c>
      <c r="C66" s="16">
        <v>21</v>
      </c>
      <c r="D66" s="15" t="s">
        <v>288</v>
      </c>
      <c r="E66" s="15" t="s">
        <v>259</v>
      </c>
      <c r="F66" s="15" t="s">
        <v>260</v>
      </c>
      <c r="G66" s="15" t="s">
        <v>268</v>
      </c>
      <c r="H66" s="15" t="s">
        <v>269</v>
      </c>
      <c r="I66" s="15" t="s">
        <v>280</v>
      </c>
      <c r="J66" s="15" t="s">
        <v>280</v>
      </c>
      <c r="K66" s="15" t="s">
        <v>272</v>
      </c>
      <c r="L66" s="15" t="s">
        <v>314</v>
      </c>
      <c r="M66" s="15" t="s">
        <v>402</v>
      </c>
      <c r="N66" s="15"/>
      <c r="O66" s="15"/>
      <c r="P66" s="15"/>
      <c r="Q66" s="15"/>
      <c r="R66" s="15">
        <f>1/1</f>
        <v>1</v>
      </c>
      <c r="S66" s="15">
        <f>0</f>
        <v>0</v>
      </c>
      <c r="T66" s="15">
        <v>7.9801890000000002</v>
      </c>
      <c r="U66" s="15">
        <v>0</v>
      </c>
      <c r="V66" s="15">
        <f>0</f>
        <v>0</v>
      </c>
      <c r="W66" s="15">
        <f>1/8</f>
        <v>0.125</v>
      </c>
      <c r="X66" s="15">
        <v>16.814049999999998</v>
      </c>
      <c r="Y66" s="15">
        <v>0.3725</v>
      </c>
      <c r="Z66" s="15">
        <v>1</v>
      </c>
      <c r="AA66" s="15">
        <f>1/5</f>
        <v>0.2</v>
      </c>
      <c r="AB66" s="15"/>
      <c r="AC66" s="15">
        <f>1.05</f>
        <v>1.05</v>
      </c>
      <c r="AD66" s="15">
        <v>0</v>
      </c>
      <c r="AE66" s="15">
        <f>2/2</f>
        <v>1</v>
      </c>
      <c r="AF66" s="15">
        <v>12.542384</v>
      </c>
      <c r="AG66" s="15">
        <v>0</v>
      </c>
      <c r="AH66" s="15">
        <v>1</v>
      </c>
      <c r="AI66" s="15">
        <v>0</v>
      </c>
      <c r="AJ66" s="15">
        <f>5/5</f>
        <v>1</v>
      </c>
      <c r="AK66" s="15">
        <v>4</v>
      </c>
      <c r="AL66" s="15">
        <f>5/8</f>
        <v>0.625</v>
      </c>
      <c r="AM66" s="15">
        <v>17.092603999999998</v>
      </c>
      <c r="AN66" s="15">
        <f>1.1*4+0.1</f>
        <v>4.5</v>
      </c>
      <c r="AO66" s="15"/>
      <c r="AP66" s="15"/>
      <c r="AQ66" s="15"/>
      <c r="AR66" s="15"/>
      <c r="AS66" s="15">
        <v>0</v>
      </c>
      <c r="AT66" s="15"/>
      <c r="AU66" s="15"/>
      <c r="AV66" s="15">
        <v>0</v>
      </c>
      <c r="AW66" s="15">
        <f>3/4</f>
        <v>0.75</v>
      </c>
      <c r="AX66" s="15">
        <v>13.026736000000001</v>
      </c>
      <c r="AY66" s="15">
        <v>0.44750000000000001</v>
      </c>
      <c r="AZ66" s="15"/>
      <c r="BA66" s="15"/>
      <c r="BB66" s="15"/>
      <c r="BC66" s="15"/>
      <c r="BD66" s="15">
        <v>1</v>
      </c>
      <c r="BE66" s="15">
        <v>0</v>
      </c>
      <c r="BF66" s="15">
        <f>5/5</f>
        <v>1</v>
      </c>
      <c r="BG66" s="15">
        <v>1</v>
      </c>
      <c r="BH66" s="15">
        <f>5/5</f>
        <v>1</v>
      </c>
      <c r="BI66" s="15">
        <v>64.059336999999999</v>
      </c>
      <c r="BJ66" s="15">
        <v>1.9500000000000002</v>
      </c>
      <c r="BK66" s="15"/>
      <c r="BL66" s="15"/>
      <c r="BM66" s="15"/>
      <c r="BN66" s="15"/>
      <c r="BO66" s="15">
        <v>0</v>
      </c>
      <c r="BP66" s="15">
        <f>5/5</f>
        <v>1</v>
      </c>
      <c r="BQ66" s="15">
        <v>9.2705139999999986</v>
      </c>
      <c r="BR66" s="15">
        <v>0</v>
      </c>
      <c r="BS66" s="15"/>
      <c r="BT66" s="15"/>
      <c r="BU66" s="15"/>
      <c r="BV66" s="15"/>
      <c r="BW66" s="15">
        <v>0</v>
      </c>
      <c r="BX66" s="15"/>
      <c r="BY66" s="15"/>
      <c r="BZ66" s="15">
        <v>1</v>
      </c>
      <c r="CA66" s="15">
        <f>3/5</f>
        <v>0.6</v>
      </c>
      <c r="CB66" s="15">
        <v>14.842051</v>
      </c>
      <c r="CC66" s="15">
        <v>1.05</v>
      </c>
      <c r="CD66" s="15"/>
      <c r="CE66" s="15"/>
      <c r="CF66" s="15"/>
      <c r="CG66" s="15"/>
      <c r="CH66" s="15">
        <v>0</v>
      </c>
      <c r="CI66" s="15"/>
      <c r="CJ66" s="15"/>
      <c r="CK66" s="15">
        <f t="shared" ref="CK66:CK101" si="22">SUM(P66,T66,X66,AB66,AF66,AM66,AQ66,AX66,BB66,BI66,BM66,BQ66,BU66,CB66,CF66)</f>
        <v>155.62786499999999</v>
      </c>
      <c r="CL66" s="15">
        <f>7/8</f>
        <v>0.875</v>
      </c>
      <c r="CM66" s="15">
        <v>2</v>
      </c>
      <c r="CN66" s="15">
        <v>2</v>
      </c>
      <c r="CO66" s="15">
        <f>Table1[[#This Row],[TotalTrapsRisked]]/5</f>
        <v>0.4</v>
      </c>
      <c r="CP66" s="15">
        <v>0</v>
      </c>
      <c r="CQ66" s="15">
        <v>1</v>
      </c>
      <c r="CR66" s="15">
        <v>1</v>
      </c>
      <c r="CS66" s="15">
        <v>0.98181818181818181</v>
      </c>
      <c r="CT66" s="15">
        <v>2</v>
      </c>
      <c r="CU66" s="15">
        <v>422</v>
      </c>
      <c r="CV66" s="15">
        <v>1152</v>
      </c>
      <c r="CW66" s="15">
        <v>2</v>
      </c>
      <c r="CX66" s="15"/>
      <c r="CY66" s="15"/>
      <c r="CZ66" s="15"/>
      <c r="DA66" s="15"/>
      <c r="DB66" s="15"/>
      <c r="DC66" s="15"/>
      <c r="DD66" s="15">
        <v>0</v>
      </c>
      <c r="DE66" s="15">
        <v>0</v>
      </c>
      <c r="DF66" s="15">
        <v>5</v>
      </c>
      <c r="DG66" s="15">
        <v>1</v>
      </c>
      <c r="DH66" s="15">
        <v>5</v>
      </c>
      <c r="DI66" s="15">
        <v>2</v>
      </c>
      <c r="DJ66" s="15">
        <v>5</v>
      </c>
      <c r="DK66" s="15">
        <v>2</v>
      </c>
      <c r="DL66" s="15">
        <v>4</v>
      </c>
      <c r="DM66" s="15">
        <v>5</v>
      </c>
      <c r="DN66" s="15">
        <v>1</v>
      </c>
      <c r="DO66" s="15">
        <v>2</v>
      </c>
      <c r="DP66" s="15">
        <v>5</v>
      </c>
      <c r="DQ66" s="15">
        <v>5</v>
      </c>
      <c r="DR66" s="15">
        <v>3</v>
      </c>
      <c r="DS66" s="15">
        <v>5</v>
      </c>
      <c r="DT66" s="15">
        <v>5</v>
      </c>
      <c r="DU66" s="15">
        <v>5</v>
      </c>
      <c r="DV66" s="15">
        <v>5</v>
      </c>
      <c r="DW66" s="15">
        <v>4</v>
      </c>
      <c r="DX66" s="15">
        <v>5</v>
      </c>
      <c r="DY66" s="15">
        <v>4</v>
      </c>
      <c r="DZ66" s="15">
        <v>5</v>
      </c>
      <c r="EA66" s="15">
        <v>4</v>
      </c>
      <c r="EB66" s="15">
        <v>4</v>
      </c>
      <c r="EC66" s="15">
        <v>1</v>
      </c>
      <c r="ED66" s="15">
        <v>3</v>
      </c>
      <c r="EE66" s="15">
        <v>2</v>
      </c>
      <c r="EF66" s="15">
        <v>3</v>
      </c>
      <c r="EG66" s="15">
        <v>1</v>
      </c>
      <c r="EH66" s="15">
        <v>5</v>
      </c>
      <c r="EI66" s="15">
        <v>2</v>
      </c>
      <c r="EJ66" s="15">
        <v>5</v>
      </c>
      <c r="EK66" s="15">
        <v>2</v>
      </c>
      <c r="EL66" s="15">
        <v>5</v>
      </c>
      <c r="EM66" s="15">
        <v>2</v>
      </c>
      <c r="EN66" s="15">
        <v>4</v>
      </c>
      <c r="EO66" s="15">
        <v>2</v>
      </c>
      <c r="EP66" s="15">
        <v>1</v>
      </c>
      <c r="EQ66" s="15">
        <v>5</v>
      </c>
      <c r="ER66" s="15">
        <v>1</v>
      </c>
      <c r="ES66" s="15">
        <v>5</v>
      </c>
      <c r="ET66" s="15">
        <v>4</v>
      </c>
      <c r="EU66" s="15">
        <v>5</v>
      </c>
      <c r="EV66" s="15">
        <v>4</v>
      </c>
      <c r="EW66" s="15">
        <v>5</v>
      </c>
      <c r="EX66" s="15">
        <v>5</v>
      </c>
      <c r="EY66" s="15">
        <v>4</v>
      </c>
      <c r="EZ66" s="15">
        <v>4</v>
      </c>
      <c r="FA66" s="15">
        <v>2</v>
      </c>
      <c r="FB66" s="15">
        <v>1</v>
      </c>
      <c r="FC66" s="15">
        <v>5</v>
      </c>
      <c r="FD66" s="15">
        <v>3</v>
      </c>
      <c r="FE66" s="15">
        <v>4</v>
      </c>
      <c r="FF66" s="15">
        <v>5</v>
      </c>
      <c r="FG66" s="15">
        <v>1</v>
      </c>
      <c r="FH66" s="15">
        <v>4</v>
      </c>
      <c r="FI66" s="15">
        <v>1</v>
      </c>
      <c r="FJ66" s="15">
        <v>3</v>
      </c>
      <c r="FK66" s="15">
        <v>5</v>
      </c>
      <c r="FL66" s="15">
        <v>5</v>
      </c>
      <c r="FM66" s="15">
        <v>1</v>
      </c>
      <c r="FN66" s="15">
        <v>5</v>
      </c>
      <c r="FO66" s="15">
        <v>1</v>
      </c>
      <c r="FP66" s="15">
        <v>5</v>
      </c>
      <c r="FQ66" s="15">
        <v>2</v>
      </c>
      <c r="FR66" s="15">
        <v>5</v>
      </c>
      <c r="FS66" s="15">
        <v>2</v>
      </c>
      <c r="FT66" s="15">
        <v>1</v>
      </c>
      <c r="FU66" s="15">
        <v>2</v>
      </c>
      <c r="FV66" s="15">
        <v>4</v>
      </c>
      <c r="FW66" s="15">
        <v>1</v>
      </c>
      <c r="FX66" s="15">
        <v>5</v>
      </c>
      <c r="FY66" s="15">
        <v>5</v>
      </c>
      <c r="FZ66" s="15">
        <v>5</v>
      </c>
      <c r="GA66" s="15">
        <v>1</v>
      </c>
      <c r="GB66" s="15">
        <v>1</v>
      </c>
      <c r="GC66" s="15">
        <v>1</v>
      </c>
      <c r="GD66" s="15">
        <v>5</v>
      </c>
      <c r="GE66" s="15">
        <v>2</v>
      </c>
      <c r="GF66" s="15">
        <v>1</v>
      </c>
      <c r="GG66" s="15">
        <v>1</v>
      </c>
      <c r="GH66" s="15">
        <v>1</v>
      </c>
      <c r="GI66" s="15">
        <v>1</v>
      </c>
      <c r="GJ66" s="15">
        <v>3</v>
      </c>
      <c r="GK66" s="15">
        <v>1</v>
      </c>
      <c r="GL66" s="15">
        <v>1</v>
      </c>
      <c r="GM66" s="15">
        <v>5</v>
      </c>
      <c r="GN66" s="15">
        <v>1</v>
      </c>
      <c r="GO66" s="15">
        <v>3</v>
      </c>
      <c r="GP66" s="15">
        <v>1</v>
      </c>
      <c r="GQ66" s="15">
        <v>1</v>
      </c>
      <c r="GR66" s="15">
        <v>4</v>
      </c>
      <c r="GS66" s="15">
        <v>2</v>
      </c>
      <c r="GT66" s="15">
        <v>4</v>
      </c>
      <c r="GU66" s="15">
        <v>5</v>
      </c>
      <c r="GV66" s="15">
        <v>4</v>
      </c>
      <c r="GW66" s="15">
        <v>5</v>
      </c>
      <c r="GX66" s="15">
        <v>5</v>
      </c>
      <c r="GY66" s="15">
        <v>1</v>
      </c>
      <c r="GZ66" s="15">
        <v>1</v>
      </c>
      <c r="HA66" s="15">
        <v>1</v>
      </c>
      <c r="HB66" s="15">
        <v>4</v>
      </c>
      <c r="HC66" s="15">
        <v>1</v>
      </c>
      <c r="HD66" s="15">
        <v>1</v>
      </c>
      <c r="HE66" s="15">
        <v>1</v>
      </c>
      <c r="HF66" s="15">
        <v>1</v>
      </c>
      <c r="HG66" s="15">
        <v>1</v>
      </c>
      <c r="HH66" s="15">
        <v>1</v>
      </c>
      <c r="HI66" s="15">
        <v>4</v>
      </c>
      <c r="HJ66" s="15">
        <v>1</v>
      </c>
      <c r="HK66" s="15">
        <v>1</v>
      </c>
      <c r="HL66" s="15">
        <v>1</v>
      </c>
      <c r="HM66" s="15">
        <v>2</v>
      </c>
      <c r="HN66" s="15">
        <v>2</v>
      </c>
      <c r="HO66" s="15">
        <v>4</v>
      </c>
      <c r="HP66" s="15">
        <v>1</v>
      </c>
      <c r="HQ66" s="15">
        <v>5</v>
      </c>
      <c r="HR66" s="15">
        <v>4</v>
      </c>
      <c r="HS66" s="15">
        <v>3</v>
      </c>
      <c r="HT66" s="15">
        <v>1</v>
      </c>
      <c r="HU66" s="15">
        <v>4</v>
      </c>
      <c r="HV66" s="15">
        <v>2</v>
      </c>
      <c r="HW66" s="15">
        <v>4.75</v>
      </c>
      <c r="HX66" s="15">
        <v>1.5</v>
      </c>
      <c r="HY66" s="15">
        <v>5</v>
      </c>
      <c r="HZ66" s="15">
        <v>4.75</v>
      </c>
      <c r="IA66" s="15">
        <v>2.25</v>
      </c>
      <c r="IB66" s="15">
        <v>3.75</v>
      </c>
      <c r="IC66" s="15">
        <v>4.25</v>
      </c>
      <c r="ID66" s="15">
        <v>1.75</v>
      </c>
      <c r="IE66" s="15">
        <v>4.75</v>
      </c>
      <c r="IF66" s="15">
        <v>4.75</v>
      </c>
      <c r="IG66" s="15">
        <v>4.25</v>
      </c>
      <c r="IH66" s="15">
        <v>1.5</v>
      </c>
      <c r="II66" s="15">
        <v>2.5</v>
      </c>
      <c r="IJ66" s="15">
        <v>3.75</v>
      </c>
      <c r="IK66" s="15">
        <v>5</v>
      </c>
      <c r="IL66" s="15">
        <v>3.25</v>
      </c>
      <c r="IM66" s="15">
        <v>3.25</v>
      </c>
      <c r="IN66" s="15">
        <v>3</v>
      </c>
      <c r="IO66" s="15">
        <v>5</v>
      </c>
      <c r="IP66" s="15">
        <v>4.75</v>
      </c>
      <c r="IQ66" s="15">
        <v>4.25</v>
      </c>
      <c r="IR66" s="15">
        <v>4.5</v>
      </c>
      <c r="IS66" s="15">
        <v>3</v>
      </c>
      <c r="IT66" s="15">
        <v>4</v>
      </c>
      <c r="IU66" s="15">
        <v>2</v>
      </c>
      <c r="IV66" s="15">
        <v>5</v>
      </c>
      <c r="IW66" s="15">
        <v>5</v>
      </c>
      <c r="IX66" s="15">
        <v>4</v>
      </c>
      <c r="IY66" s="15">
        <v>5</v>
      </c>
      <c r="IZ66" s="15">
        <v>4.25</v>
      </c>
    </row>
    <row r="67" spans="1:260" s="12" customFormat="1" x14ac:dyDescent="0.3">
      <c r="A67" s="15">
        <v>70</v>
      </c>
      <c r="B67" s="15" t="s">
        <v>469</v>
      </c>
      <c r="C67" s="16">
        <v>24</v>
      </c>
      <c r="D67" s="15" t="s">
        <v>258</v>
      </c>
      <c r="E67" s="15" t="s">
        <v>259</v>
      </c>
      <c r="F67" s="15" t="s">
        <v>260</v>
      </c>
      <c r="G67" s="15" t="s">
        <v>268</v>
      </c>
      <c r="H67" s="15" t="s">
        <v>269</v>
      </c>
      <c r="I67" s="15" t="s">
        <v>280</v>
      </c>
      <c r="J67" s="15" t="s">
        <v>280</v>
      </c>
      <c r="K67" s="15" t="s">
        <v>285</v>
      </c>
      <c r="L67" s="15" t="s">
        <v>403</v>
      </c>
      <c r="M67" s="15" t="s">
        <v>404</v>
      </c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>
        <v>0</v>
      </c>
      <c r="AA67" s="15">
        <f>5/5</f>
        <v>1</v>
      </c>
      <c r="AB67" s="15">
        <v>9.3280189999999994</v>
      </c>
      <c r="AC67" s="15">
        <f>0</f>
        <v>0</v>
      </c>
      <c r="AD67" s="15"/>
      <c r="AE67" s="15"/>
      <c r="AF67" s="15"/>
      <c r="AG67" s="15"/>
      <c r="AH67" s="15">
        <v>1</v>
      </c>
      <c r="AI67" s="15">
        <v>0</v>
      </c>
      <c r="AJ67" s="15">
        <f>5/5</f>
        <v>1</v>
      </c>
      <c r="AK67" s="15">
        <f>4</f>
        <v>4</v>
      </c>
      <c r="AL67" s="15">
        <f>1/8</f>
        <v>0.125</v>
      </c>
      <c r="AM67" s="15"/>
      <c r="AN67" s="15">
        <f>1.1*4</f>
        <v>4.4000000000000004</v>
      </c>
      <c r="AO67" s="15">
        <v>0</v>
      </c>
      <c r="AP67" s="15">
        <f>3/3</f>
        <v>1</v>
      </c>
      <c r="AQ67" s="15">
        <v>5.0658300000000001</v>
      </c>
      <c r="AR67" s="15">
        <v>0.11749999999999999</v>
      </c>
      <c r="AS67" s="15">
        <v>0</v>
      </c>
      <c r="AT67" s="15"/>
      <c r="AU67" s="15"/>
      <c r="AV67" s="15"/>
      <c r="AW67" s="15"/>
      <c r="AX67" s="15"/>
      <c r="AY67" s="15"/>
      <c r="AZ67" s="15">
        <v>0</v>
      </c>
      <c r="BA67" s="15">
        <f>2/2</f>
        <v>1</v>
      </c>
      <c r="BB67" s="15">
        <v>5.571987</v>
      </c>
      <c r="BC67" s="15">
        <v>0</v>
      </c>
      <c r="BD67" s="15">
        <v>0</v>
      </c>
      <c r="BE67" s="15"/>
      <c r="BF67" s="15"/>
      <c r="BG67" s="15"/>
      <c r="BH67" s="15"/>
      <c r="BI67" s="15"/>
      <c r="BJ67" s="15"/>
      <c r="BK67" s="15">
        <v>0</v>
      </c>
      <c r="BL67" s="15">
        <f>2/2</f>
        <v>1</v>
      </c>
      <c r="BM67" s="15">
        <v>10.104058</v>
      </c>
      <c r="BN67" s="15">
        <v>3.7499999999999999E-2</v>
      </c>
      <c r="BO67" s="15"/>
      <c r="BP67" s="15"/>
      <c r="BQ67" s="15"/>
      <c r="BR67" s="15"/>
      <c r="BS67" s="15">
        <v>0</v>
      </c>
      <c r="BT67" s="15">
        <f t="shared" ref="BT67:BT80" si="23">2/2</f>
        <v>1</v>
      </c>
      <c r="BU67" s="15">
        <v>8.9766020000000015</v>
      </c>
      <c r="BV67" s="15">
        <f>0</f>
        <v>0</v>
      </c>
      <c r="BW67" s="15">
        <v>0</v>
      </c>
      <c r="BX67" s="15"/>
      <c r="BY67" s="15"/>
      <c r="BZ67" s="15"/>
      <c r="CA67" s="15"/>
      <c r="CB67" s="15"/>
      <c r="CC67" s="15"/>
      <c r="CD67" s="15">
        <v>0</v>
      </c>
      <c r="CE67" s="15">
        <f>1/2</f>
        <v>0.5</v>
      </c>
      <c r="CF67" s="15">
        <v>12.124746</v>
      </c>
      <c r="CG67" s="15">
        <v>0.125</v>
      </c>
      <c r="CH67" s="15">
        <v>0</v>
      </c>
      <c r="CI67" s="15"/>
      <c r="CJ67" s="15"/>
      <c r="CK67" s="15">
        <f t="shared" si="22"/>
        <v>51.171241999999999</v>
      </c>
      <c r="CL67" s="15">
        <f>2/8</f>
        <v>0.25</v>
      </c>
      <c r="CM67" s="15">
        <v>1</v>
      </c>
      <c r="CN67" s="15">
        <v>1</v>
      </c>
      <c r="CO67" s="15">
        <f>Table1[[#This Row],[TotalTrapsRisked]]/5</f>
        <v>0.2</v>
      </c>
      <c r="CP67" s="15">
        <v>0</v>
      </c>
      <c r="CQ67" s="15">
        <v>0</v>
      </c>
      <c r="CR67" s="15">
        <v>1</v>
      </c>
      <c r="CS67" s="15">
        <v>1</v>
      </c>
      <c r="CT67" s="15">
        <v>3</v>
      </c>
      <c r="CU67" s="15">
        <v>100</v>
      </c>
      <c r="CV67" s="15">
        <v>1400</v>
      </c>
      <c r="CW67" s="15">
        <v>3</v>
      </c>
      <c r="CX67" s="15">
        <v>4.1666666666666664E-2</v>
      </c>
      <c r="CY67" s="15">
        <v>0.20909090909090908</v>
      </c>
      <c r="CZ67" s="15">
        <v>0</v>
      </c>
      <c r="DA67" s="15">
        <v>81</v>
      </c>
      <c r="DB67" s="15">
        <v>230</v>
      </c>
      <c r="DC67" s="15">
        <v>0</v>
      </c>
      <c r="DD67" s="15">
        <v>1</v>
      </c>
      <c r="DE67" s="15">
        <v>1</v>
      </c>
      <c r="DF67" s="15">
        <v>5</v>
      </c>
      <c r="DG67" s="15">
        <v>5</v>
      </c>
      <c r="DH67" s="15">
        <v>5</v>
      </c>
      <c r="DI67" s="15">
        <v>5</v>
      </c>
      <c r="DJ67" s="15">
        <v>5</v>
      </c>
      <c r="DK67" s="15">
        <v>1</v>
      </c>
      <c r="DL67" s="15">
        <v>3</v>
      </c>
      <c r="DM67" s="15">
        <v>4</v>
      </c>
      <c r="DN67" s="15">
        <v>1</v>
      </c>
      <c r="DO67" s="15">
        <v>2</v>
      </c>
      <c r="DP67" s="15">
        <v>1</v>
      </c>
      <c r="DQ67" s="15">
        <v>5</v>
      </c>
      <c r="DR67" s="15">
        <v>5</v>
      </c>
      <c r="DS67" s="15">
        <v>5</v>
      </c>
      <c r="DT67" s="15">
        <v>5</v>
      </c>
      <c r="DU67" s="15">
        <v>1</v>
      </c>
      <c r="DV67" s="15">
        <v>4</v>
      </c>
      <c r="DW67" s="15">
        <v>5</v>
      </c>
      <c r="DX67" s="15">
        <v>1</v>
      </c>
      <c r="DY67" s="15">
        <v>5</v>
      </c>
      <c r="DZ67" s="15">
        <v>4</v>
      </c>
      <c r="EA67" s="15">
        <v>5</v>
      </c>
      <c r="EB67" s="15">
        <v>4</v>
      </c>
      <c r="EC67" s="15">
        <v>5</v>
      </c>
      <c r="ED67" s="15">
        <v>5</v>
      </c>
      <c r="EE67" s="15">
        <v>1</v>
      </c>
      <c r="EF67" s="15">
        <v>5</v>
      </c>
      <c r="EG67" s="15">
        <v>1</v>
      </c>
      <c r="EH67" s="15">
        <v>4</v>
      </c>
      <c r="EI67" s="15">
        <v>1</v>
      </c>
      <c r="EJ67" s="15">
        <v>1</v>
      </c>
      <c r="EK67" s="15">
        <v>5</v>
      </c>
      <c r="EL67" s="15">
        <v>5</v>
      </c>
      <c r="EM67" s="15">
        <v>5</v>
      </c>
      <c r="EN67" s="15">
        <v>5</v>
      </c>
      <c r="EO67" s="15">
        <v>1</v>
      </c>
      <c r="EP67" s="15">
        <v>5</v>
      </c>
      <c r="EQ67" s="15">
        <v>1</v>
      </c>
      <c r="ER67" s="15">
        <v>1</v>
      </c>
      <c r="ES67" s="15">
        <v>5</v>
      </c>
      <c r="ET67" s="15">
        <v>1</v>
      </c>
      <c r="EU67" s="15">
        <v>5</v>
      </c>
      <c r="EV67" s="15">
        <v>5</v>
      </c>
      <c r="EW67" s="15">
        <v>5</v>
      </c>
      <c r="EX67" s="15">
        <v>5</v>
      </c>
      <c r="EY67" s="15">
        <v>1</v>
      </c>
      <c r="EZ67" s="15">
        <v>5</v>
      </c>
      <c r="FA67" s="15">
        <v>1</v>
      </c>
      <c r="FB67" s="15">
        <v>1</v>
      </c>
      <c r="FC67" s="15">
        <v>5</v>
      </c>
      <c r="FD67" s="15">
        <v>2</v>
      </c>
      <c r="FE67" s="15">
        <v>5</v>
      </c>
      <c r="FF67" s="15">
        <v>3</v>
      </c>
      <c r="FG67" s="15">
        <v>5</v>
      </c>
      <c r="FH67" s="15">
        <v>5</v>
      </c>
      <c r="FI67" s="15">
        <v>1</v>
      </c>
      <c r="FJ67" s="15">
        <v>5</v>
      </c>
      <c r="FK67" s="15">
        <v>5</v>
      </c>
      <c r="FL67" s="15">
        <v>5</v>
      </c>
      <c r="FM67" s="15">
        <v>1</v>
      </c>
      <c r="FN67" s="15">
        <v>5</v>
      </c>
      <c r="FO67" s="15">
        <v>1</v>
      </c>
      <c r="FP67" s="15">
        <v>5</v>
      </c>
      <c r="FQ67" s="15">
        <v>5</v>
      </c>
      <c r="FR67" s="15">
        <v>5</v>
      </c>
      <c r="FS67" s="15">
        <v>1</v>
      </c>
      <c r="FT67" s="15">
        <v>3</v>
      </c>
      <c r="FU67" s="15">
        <v>2</v>
      </c>
      <c r="FV67" s="15">
        <v>4</v>
      </c>
      <c r="FW67" s="15">
        <v>1</v>
      </c>
      <c r="FX67" s="15">
        <v>1</v>
      </c>
      <c r="FY67" s="15">
        <v>1</v>
      </c>
      <c r="FZ67" s="15">
        <v>5</v>
      </c>
      <c r="GA67" s="15">
        <v>5</v>
      </c>
      <c r="GB67" s="15">
        <v>1</v>
      </c>
      <c r="GC67" s="15">
        <v>2</v>
      </c>
      <c r="GD67" s="15">
        <v>1</v>
      </c>
      <c r="GE67" s="15">
        <v>5</v>
      </c>
      <c r="GF67" s="15">
        <v>1</v>
      </c>
      <c r="GG67" s="15">
        <v>1</v>
      </c>
      <c r="GH67" s="15">
        <v>1</v>
      </c>
      <c r="GI67" s="15">
        <v>1</v>
      </c>
      <c r="GJ67" s="15">
        <v>5</v>
      </c>
      <c r="GK67" s="15">
        <v>1</v>
      </c>
      <c r="GL67" s="15">
        <v>5</v>
      </c>
      <c r="GM67" s="15">
        <v>4</v>
      </c>
      <c r="GN67" s="15">
        <v>1</v>
      </c>
      <c r="GO67" s="15">
        <v>5</v>
      </c>
      <c r="GP67" s="15">
        <v>1</v>
      </c>
      <c r="GQ67" s="15">
        <v>1</v>
      </c>
      <c r="GR67" s="15">
        <v>1</v>
      </c>
      <c r="GS67" s="15">
        <v>1</v>
      </c>
      <c r="GT67" s="15">
        <v>1</v>
      </c>
      <c r="GU67" s="15">
        <v>5</v>
      </c>
      <c r="GV67" s="15">
        <v>1</v>
      </c>
      <c r="GW67" s="15">
        <v>5</v>
      </c>
      <c r="GX67" s="15">
        <v>5</v>
      </c>
      <c r="GY67" s="15">
        <v>1</v>
      </c>
      <c r="GZ67" s="15">
        <v>4</v>
      </c>
      <c r="HA67" s="15">
        <v>1</v>
      </c>
      <c r="HB67" s="15">
        <v>1</v>
      </c>
      <c r="HC67" s="15">
        <v>1</v>
      </c>
      <c r="HD67" s="15">
        <v>1</v>
      </c>
      <c r="HE67" s="15">
        <v>1</v>
      </c>
      <c r="HF67" s="15">
        <v>1</v>
      </c>
      <c r="HG67" s="15">
        <v>1</v>
      </c>
      <c r="HH67" s="15">
        <v>5</v>
      </c>
      <c r="HI67" s="15">
        <v>5</v>
      </c>
      <c r="HJ67" s="15">
        <v>3</v>
      </c>
      <c r="HK67" s="15">
        <v>1</v>
      </c>
      <c r="HL67" s="15">
        <v>4</v>
      </c>
      <c r="HM67" s="15">
        <v>5</v>
      </c>
      <c r="HN67" s="15">
        <v>1</v>
      </c>
      <c r="HO67" s="15">
        <v>1</v>
      </c>
      <c r="HP67" s="15">
        <v>2</v>
      </c>
      <c r="HQ67" s="15">
        <v>1</v>
      </c>
      <c r="HR67" s="15">
        <v>1</v>
      </c>
      <c r="HS67" s="15">
        <v>5</v>
      </c>
      <c r="HT67" s="15">
        <v>1</v>
      </c>
      <c r="HU67" s="15">
        <v>1</v>
      </c>
      <c r="HV67" s="15">
        <v>1</v>
      </c>
      <c r="HW67" s="15">
        <v>5</v>
      </c>
      <c r="HX67" s="15">
        <v>3.25</v>
      </c>
      <c r="HY67" s="15">
        <v>4.75</v>
      </c>
      <c r="HZ67" s="15">
        <v>4.25</v>
      </c>
      <c r="IA67" s="15">
        <v>4.25</v>
      </c>
      <c r="IB67" s="15">
        <v>5</v>
      </c>
      <c r="IC67" s="15">
        <v>3</v>
      </c>
      <c r="ID67" s="15">
        <v>1</v>
      </c>
      <c r="IE67" s="15">
        <v>2</v>
      </c>
      <c r="IF67" s="15">
        <v>1</v>
      </c>
      <c r="IG67" s="15">
        <v>3.5</v>
      </c>
      <c r="IH67" s="15">
        <v>2</v>
      </c>
      <c r="II67" s="15">
        <v>5</v>
      </c>
      <c r="IJ67" s="15">
        <v>4</v>
      </c>
      <c r="IK67" s="15">
        <v>5</v>
      </c>
      <c r="IL67" s="15">
        <v>3.75</v>
      </c>
      <c r="IM67" s="15">
        <v>4</v>
      </c>
      <c r="IN67" s="15">
        <v>5</v>
      </c>
      <c r="IO67" s="15">
        <v>5</v>
      </c>
      <c r="IP67" s="15">
        <v>2.75</v>
      </c>
      <c r="IQ67" s="15">
        <v>4</v>
      </c>
      <c r="IR67" s="15">
        <v>4.5</v>
      </c>
      <c r="IS67" s="15">
        <v>4.25</v>
      </c>
      <c r="IT67" s="15">
        <v>4</v>
      </c>
      <c r="IU67" s="15">
        <v>5</v>
      </c>
      <c r="IV67" s="15">
        <v>5</v>
      </c>
      <c r="IW67" s="15">
        <v>5</v>
      </c>
      <c r="IX67" s="15">
        <v>5</v>
      </c>
      <c r="IY67" s="15">
        <v>1.75</v>
      </c>
      <c r="IZ67" s="15">
        <v>4.75</v>
      </c>
    </row>
    <row r="68" spans="1:260" s="12" customFormat="1" x14ac:dyDescent="0.3">
      <c r="A68" s="15">
        <v>71</v>
      </c>
      <c r="B68" s="15" t="s">
        <v>467</v>
      </c>
      <c r="C68" s="16">
        <v>48</v>
      </c>
      <c r="D68" s="15" t="s">
        <v>258</v>
      </c>
      <c r="E68" s="15" t="s">
        <v>289</v>
      </c>
      <c r="F68" s="15" t="s">
        <v>260</v>
      </c>
      <c r="G68" s="15" t="s">
        <v>302</v>
      </c>
      <c r="H68" s="15" t="s">
        <v>316</v>
      </c>
      <c r="I68" s="15" t="s">
        <v>270</v>
      </c>
      <c r="J68" s="15" t="s">
        <v>405</v>
      </c>
      <c r="K68" s="15" t="s">
        <v>342</v>
      </c>
      <c r="L68" s="15" t="s">
        <v>295</v>
      </c>
      <c r="M68" s="15" t="s">
        <v>296</v>
      </c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>
        <v>1</v>
      </c>
      <c r="AA68" s="15">
        <f>3/5</f>
        <v>0.6</v>
      </c>
      <c r="AB68" s="15"/>
      <c r="AC68" s="15">
        <v>1.05</v>
      </c>
      <c r="AD68" s="15">
        <v>0</v>
      </c>
      <c r="AE68" s="15">
        <f>2/2</f>
        <v>1</v>
      </c>
      <c r="AF68" s="15">
        <v>30.957851999999999</v>
      </c>
      <c r="AG68" s="15">
        <v>0</v>
      </c>
      <c r="AH68" s="15">
        <v>1</v>
      </c>
      <c r="AI68" s="15">
        <f>0</f>
        <v>0</v>
      </c>
      <c r="AJ68" s="15">
        <f>5/5</f>
        <v>1</v>
      </c>
      <c r="AK68" s="15">
        <v>4</v>
      </c>
      <c r="AL68" s="15">
        <f>3/8</f>
        <v>0.375</v>
      </c>
      <c r="AM68" s="15">
        <v>87.964169999999996</v>
      </c>
      <c r="AN68" s="15">
        <v>4.4000000000000004</v>
      </c>
      <c r="AO68" s="15"/>
      <c r="AP68" s="15"/>
      <c r="AQ68" s="15"/>
      <c r="AR68" s="15"/>
      <c r="AS68" s="15">
        <v>0</v>
      </c>
      <c r="AT68" s="15"/>
      <c r="AU68" s="15"/>
      <c r="AV68" s="15"/>
      <c r="AW68" s="15"/>
      <c r="AX68" s="15"/>
      <c r="AY68" s="15"/>
      <c r="AZ68" s="15">
        <v>0</v>
      </c>
      <c r="BA68" s="15">
        <f>2/2</f>
        <v>1</v>
      </c>
      <c r="BB68" s="15">
        <v>11.123031999999998</v>
      </c>
      <c r="BC68" s="15">
        <f>0</f>
        <v>0</v>
      </c>
      <c r="BD68" s="15">
        <v>0</v>
      </c>
      <c r="BE68" s="15"/>
      <c r="BF68" s="15"/>
      <c r="BG68" s="15"/>
      <c r="BH68" s="15"/>
      <c r="BI68" s="15"/>
      <c r="BJ68" s="15"/>
      <c r="BK68" s="15">
        <v>0</v>
      </c>
      <c r="BL68" s="15">
        <f>2/2</f>
        <v>1</v>
      </c>
      <c r="BM68" s="15">
        <v>23.058868999999998</v>
      </c>
      <c r="BN68" s="15">
        <v>0.54999999999999905</v>
      </c>
      <c r="BO68" s="15"/>
      <c r="BP68" s="15"/>
      <c r="BQ68" s="15"/>
      <c r="BR68" s="15"/>
      <c r="BS68" s="15">
        <v>0</v>
      </c>
      <c r="BT68" s="15">
        <f t="shared" si="23"/>
        <v>1</v>
      </c>
      <c r="BU68" s="15">
        <v>19.020615000000003</v>
      </c>
      <c r="BV68" s="15">
        <f>0</f>
        <v>0</v>
      </c>
      <c r="BW68" s="15">
        <v>2</v>
      </c>
      <c r="BX68" s="15">
        <v>2</v>
      </c>
      <c r="BY68" s="15">
        <f>AVERAGE(2,0)/6</f>
        <v>0.16666666666666666</v>
      </c>
      <c r="BZ68" s="15"/>
      <c r="CA68" s="15"/>
      <c r="CB68" s="15"/>
      <c r="CC68" s="15"/>
      <c r="CD68" s="15">
        <v>0</v>
      </c>
      <c r="CE68" s="15">
        <f>2/2</f>
        <v>1</v>
      </c>
      <c r="CF68" s="15">
        <v>18.670598000000002</v>
      </c>
      <c r="CG68" s="15">
        <v>8.2500000000000004E-2</v>
      </c>
      <c r="CH68" s="15">
        <v>0</v>
      </c>
      <c r="CI68" s="15"/>
      <c r="CJ68" s="15"/>
      <c r="CK68" s="15">
        <f t="shared" si="22"/>
        <v>190.79513599999999</v>
      </c>
      <c r="CL68" s="15">
        <f>2/8</f>
        <v>0.25</v>
      </c>
      <c r="CM68" s="15">
        <v>1</v>
      </c>
      <c r="CN68" s="15">
        <v>2</v>
      </c>
      <c r="CO68" s="15">
        <f>Table1[[#This Row],[TotalTrapsRisked]]/5</f>
        <v>0.4</v>
      </c>
      <c r="CP68" s="15">
        <v>0</v>
      </c>
      <c r="CQ68" s="15">
        <v>0</v>
      </c>
      <c r="CR68" s="15">
        <v>0.15</v>
      </c>
      <c r="CS68" s="15">
        <v>0.35</v>
      </c>
      <c r="CT68" s="15">
        <v>0</v>
      </c>
      <c r="CU68" s="15">
        <v>216</v>
      </c>
      <c r="CV68" s="15">
        <v>390</v>
      </c>
      <c r="CW68" s="15">
        <v>0</v>
      </c>
      <c r="CX68" s="15"/>
      <c r="CY68" s="15"/>
      <c r="CZ68" s="15"/>
      <c r="DA68" s="15"/>
      <c r="DB68" s="15"/>
      <c r="DC68" s="15"/>
      <c r="DD68" s="15">
        <v>0</v>
      </c>
      <c r="DE68" s="15">
        <v>0</v>
      </c>
      <c r="DF68" s="15">
        <v>4</v>
      </c>
      <c r="DG68" s="15">
        <v>4</v>
      </c>
      <c r="DH68" s="15">
        <v>4</v>
      </c>
      <c r="DI68" s="15">
        <v>3</v>
      </c>
      <c r="DJ68" s="15">
        <v>5</v>
      </c>
      <c r="DK68" s="15">
        <v>3</v>
      </c>
      <c r="DL68" s="15">
        <v>3</v>
      </c>
      <c r="DM68" s="15">
        <v>5</v>
      </c>
      <c r="DN68" s="15">
        <v>2</v>
      </c>
      <c r="DO68" s="15">
        <v>3</v>
      </c>
      <c r="DP68" s="15">
        <v>2</v>
      </c>
      <c r="DQ68" s="15">
        <v>5</v>
      </c>
      <c r="DR68" s="15">
        <v>3</v>
      </c>
      <c r="DS68" s="15">
        <v>4</v>
      </c>
      <c r="DT68" s="15">
        <v>5</v>
      </c>
      <c r="DU68" s="15">
        <v>1</v>
      </c>
      <c r="DV68" s="15">
        <v>3</v>
      </c>
      <c r="DW68" s="15">
        <v>4</v>
      </c>
      <c r="DX68" s="15">
        <v>1</v>
      </c>
      <c r="DY68" s="15">
        <v>4</v>
      </c>
      <c r="DZ68" s="15">
        <v>3</v>
      </c>
      <c r="EA68" s="15">
        <v>4</v>
      </c>
      <c r="EB68" s="15">
        <v>5</v>
      </c>
      <c r="EC68" s="15">
        <v>2</v>
      </c>
      <c r="ED68" s="15">
        <v>3</v>
      </c>
      <c r="EE68" s="15">
        <v>1</v>
      </c>
      <c r="EF68" s="15">
        <v>4</v>
      </c>
      <c r="EG68" s="15">
        <v>1</v>
      </c>
      <c r="EH68" s="15">
        <v>4</v>
      </c>
      <c r="EI68" s="15">
        <v>1</v>
      </c>
      <c r="EJ68" s="15">
        <v>1</v>
      </c>
      <c r="EK68" s="15">
        <v>4</v>
      </c>
      <c r="EL68" s="15">
        <v>4</v>
      </c>
      <c r="EM68" s="15">
        <v>3</v>
      </c>
      <c r="EN68" s="15">
        <v>3</v>
      </c>
      <c r="EO68" s="15">
        <v>2</v>
      </c>
      <c r="EP68" s="15">
        <v>3</v>
      </c>
      <c r="EQ68" s="15">
        <v>3</v>
      </c>
      <c r="ER68" s="15">
        <v>1</v>
      </c>
      <c r="ES68" s="15">
        <v>2</v>
      </c>
      <c r="ET68" s="15">
        <v>1</v>
      </c>
      <c r="EU68" s="15">
        <v>4</v>
      </c>
      <c r="EV68" s="15">
        <v>4</v>
      </c>
      <c r="EW68" s="15">
        <v>4</v>
      </c>
      <c r="EX68" s="15">
        <v>5</v>
      </c>
      <c r="EY68" s="15">
        <v>1</v>
      </c>
      <c r="EZ68" s="15">
        <v>3</v>
      </c>
      <c r="FA68" s="15">
        <v>2</v>
      </c>
      <c r="FB68" s="15">
        <v>1</v>
      </c>
      <c r="FC68" s="15">
        <v>4</v>
      </c>
      <c r="FD68" s="15">
        <v>3</v>
      </c>
      <c r="FE68" s="15">
        <v>4</v>
      </c>
      <c r="FF68" s="15">
        <v>1</v>
      </c>
      <c r="FG68" s="15">
        <v>4</v>
      </c>
      <c r="FH68" s="15">
        <v>4</v>
      </c>
      <c r="FI68" s="15">
        <v>1</v>
      </c>
      <c r="FJ68" s="15">
        <v>5</v>
      </c>
      <c r="FK68" s="15">
        <v>4</v>
      </c>
      <c r="FL68" s="15">
        <v>4</v>
      </c>
      <c r="FM68" s="15">
        <v>3</v>
      </c>
      <c r="FN68" s="15">
        <v>1</v>
      </c>
      <c r="FO68" s="15">
        <v>1</v>
      </c>
      <c r="FP68" s="15">
        <v>3</v>
      </c>
      <c r="FQ68" s="15">
        <v>3</v>
      </c>
      <c r="FR68" s="15">
        <v>4</v>
      </c>
      <c r="FS68" s="15">
        <v>3</v>
      </c>
      <c r="FT68" s="15">
        <v>4</v>
      </c>
      <c r="FU68" s="15">
        <v>2</v>
      </c>
      <c r="FV68" s="15">
        <v>4</v>
      </c>
      <c r="FW68" s="15">
        <v>2</v>
      </c>
      <c r="FX68" s="15">
        <v>1</v>
      </c>
      <c r="FY68" s="15">
        <v>2</v>
      </c>
      <c r="FZ68" s="15">
        <v>4</v>
      </c>
      <c r="GA68" s="15">
        <v>3</v>
      </c>
      <c r="GB68" s="15">
        <v>1</v>
      </c>
      <c r="GC68" s="15">
        <v>2</v>
      </c>
      <c r="GD68" s="15">
        <v>1</v>
      </c>
      <c r="GE68" s="15">
        <v>3</v>
      </c>
      <c r="GF68" s="15">
        <v>3</v>
      </c>
      <c r="GG68" s="15">
        <v>2</v>
      </c>
      <c r="GH68" s="15">
        <v>1</v>
      </c>
      <c r="GI68" s="15">
        <v>3</v>
      </c>
      <c r="GJ68" s="15">
        <v>3</v>
      </c>
      <c r="GK68" s="15">
        <v>2</v>
      </c>
      <c r="GL68" s="15">
        <v>3</v>
      </c>
      <c r="GM68" s="15">
        <v>3</v>
      </c>
      <c r="GN68" s="15">
        <v>2</v>
      </c>
      <c r="GO68" s="15">
        <v>5</v>
      </c>
      <c r="GP68" s="15">
        <v>1</v>
      </c>
      <c r="GQ68" s="15">
        <v>1</v>
      </c>
      <c r="GR68" s="15">
        <v>2</v>
      </c>
      <c r="GS68" s="15">
        <v>2</v>
      </c>
      <c r="GT68" s="15">
        <v>2</v>
      </c>
      <c r="GU68" s="15">
        <v>4</v>
      </c>
      <c r="GV68" s="15">
        <v>3</v>
      </c>
      <c r="GW68" s="15">
        <v>4</v>
      </c>
      <c r="GX68" s="15">
        <v>4</v>
      </c>
      <c r="GY68" s="15">
        <v>2</v>
      </c>
      <c r="GZ68" s="15">
        <v>5</v>
      </c>
      <c r="HA68" s="15">
        <v>2</v>
      </c>
      <c r="HB68" s="15">
        <v>1</v>
      </c>
      <c r="HC68" s="15">
        <v>5</v>
      </c>
      <c r="HD68" s="15">
        <v>2</v>
      </c>
      <c r="HE68" s="15">
        <v>1</v>
      </c>
      <c r="HF68" s="15">
        <v>1</v>
      </c>
      <c r="HG68" s="15">
        <v>1</v>
      </c>
      <c r="HH68" s="15">
        <v>2</v>
      </c>
      <c r="HI68" s="15">
        <v>4</v>
      </c>
      <c r="HJ68" s="15">
        <v>3</v>
      </c>
      <c r="HK68" s="15">
        <v>2</v>
      </c>
      <c r="HL68" s="15">
        <v>1</v>
      </c>
      <c r="HM68" s="15">
        <v>3</v>
      </c>
      <c r="HN68" s="15">
        <v>1</v>
      </c>
      <c r="HO68" s="15">
        <v>1</v>
      </c>
      <c r="HP68" s="15">
        <v>2</v>
      </c>
      <c r="HQ68" s="15">
        <v>2</v>
      </c>
      <c r="HR68" s="15">
        <v>4</v>
      </c>
      <c r="HS68" s="15">
        <v>5</v>
      </c>
      <c r="HT68" s="15">
        <v>3</v>
      </c>
      <c r="HU68" s="15">
        <v>4</v>
      </c>
      <c r="HV68" s="15">
        <v>1</v>
      </c>
      <c r="HW68" s="15">
        <v>4</v>
      </c>
      <c r="HX68" s="15">
        <v>4.25</v>
      </c>
      <c r="HY68" s="15">
        <v>4.75</v>
      </c>
      <c r="HZ68" s="15">
        <v>4.5</v>
      </c>
      <c r="IA68" s="15">
        <v>3.5</v>
      </c>
      <c r="IB68" s="15">
        <v>4.25</v>
      </c>
      <c r="IC68" s="15">
        <v>2</v>
      </c>
      <c r="ID68" s="15">
        <v>2.5</v>
      </c>
      <c r="IE68" s="15">
        <v>1.5</v>
      </c>
      <c r="IF68" s="15">
        <v>1.75</v>
      </c>
      <c r="IG68" s="15">
        <v>3</v>
      </c>
      <c r="IH68" s="15">
        <v>1.5</v>
      </c>
      <c r="II68" s="15">
        <v>4.25</v>
      </c>
      <c r="IJ68" s="15">
        <v>3</v>
      </c>
      <c r="IK68" s="15">
        <v>4.25</v>
      </c>
      <c r="IL68" s="15">
        <v>2.75</v>
      </c>
      <c r="IM68" s="15">
        <v>3</v>
      </c>
      <c r="IN68" s="15">
        <v>4.75</v>
      </c>
      <c r="IO68" s="15">
        <v>3.75</v>
      </c>
      <c r="IP68" s="15">
        <v>3.25</v>
      </c>
      <c r="IQ68" s="15">
        <v>3.75</v>
      </c>
      <c r="IR68" s="15">
        <v>3.5</v>
      </c>
      <c r="IS68" s="15">
        <v>4.75</v>
      </c>
      <c r="IT68" s="15">
        <v>3.25</v>
      </c>
      <c r="IU68" s="15">
        <v>3</v>
      </c>
      <c r="IV68" s="15">
        <v>4.25</v>
      </c>
      <c r="IW68" s="15">
        <v>4.5</v>
      </c>
      <c r="IX68" s="15">
        <v>4.5</v>
      </c>
      <c r="IY68" s="15">
        <v>3.25</v>
      </c>
      <c r="IZ68" s="15">
        <v>3.75</v>
      </c>
    </row>
    <row r="69" spans="1:260" s="12" customFormat="1" x14ac:dyDescent="0.3">
      <c r="A69" s="15">
        <v>72</v>
      </c>
      <c r="B69" s="15" t="s">
        <v>469</v>
      </c>
      <c r="C69" s="16">
        <v>22</v>
      </c>
      <c r="D69" s="15" t="s">
        <v>258</v>
      </c>
      <c r="E69" s="15" t="s">
        <v>259</v>
      </c>
      <c r="F69" s="15" t="s">
        <v>260</v>
      </c>
      <c r="G69" s="15" t="s">
        <v>268</v>
      </c>
      <c r="H69" s="15" t="s">
        <v>269</v>
      </c>
      <c r="I69" s="15" t="s">
        <v>275</v>
      </c>
      <c r="J69" s="15" t="s">
        <v>276</v>
      </c>
      <c r="K69" s="15" t="s">
        <v>277</v>
      </c>
      <c r="L69" s="15" t="s">
        <v>406</v>
      </c>
      <c r="M69" s="15" t="s">
        <v>407</v>
      </c>
      <c r="N69" s="15"/>
      <c r="O69" s="15"/>
      <c r="P69" s="15"/>
      <c r="Q69" s="15"/>
      <c r="R69" s="15">
        <f>1/1</f>
        <v>1</v>
      </c>
      <c r="S69" s="15">
        <v>0</v>
      </c>
      <c r="T69" s="15">
        <v>2.6466340000000002</v>
      </c>
      <c r="U69" s="15">
        <v>0</v>
      </c>
      <c r="V69" s="15">
        <v>0</v>
      </c>
      <c r="W69" s="15">
        <f>8/8</f>
        <v>1</v>
      </c>
      <c r="X69" s="15">
        <v>24.857028</v>
      </c>
      <c r="Y69" s="15">
        <v>0.84749999999999304</v>
      </c>
      <c r="Z69" s="15"/>
      <c r="AA69" s="15"/>
      <c r="AB69" s="15"/>
      <c r="AC69" s="15"/>
      <c r="AD69" s="15">
        <v>0</v>
      </c>
      <c r="AE69" s="15">
        <f>2/2</f>
        <v>1</v>
      </c>
      <c r="AF69" s="15">
        <v>10.665792999999999</v>
      </c>
      <c r="AG69" s="15">
        <v>0</v>
      </c>
      <c r="AH69" s="15">
        <v>0</v>
      </c>
      <c r="AI69" s="15"/>
      <c r="AJ69" s="15"/>
      <c r="AK69" s="15">
        <v>2</v>
      </c>
      <c r="AL69" s="15">
        <f>7/8</f>
        <v>0.875</v>
      </c>
      <c r="AM69" s="15">
        <v>27.008096000000002</v>
      </c>
      <c r="AN69" s="15">
        <v>1.8</v>
      </c>
      <c r="AO69" s="15"/>
      <c r="AP69" s="15"/>
      <c r="AQ69" s="15"/>
      <c r="AR69" s="15"/>
      <c r="AS69" s="15">
        <v>0</v>
      </c>
      <c r="AT69" s="15"/>
      <c r="AU69" s="15"/>
      <c r="AV69" s="15">
        <v>0</v>
      </c>
      <c r="AW69" s="15">
        <f>4/4</f>
        <v>1</v>
      </c>
      <c r="AX69" s="15">
        <v>11.132982</v>
      </c>
      <c r="AY69" s="15">
        <v>0.95499999999999197</v>
      </c>
      <c r="AZ69" s="15"/>
      <c r="BA69" s="15"/>
      <c r="BB69" s="15"/>
      <c r="BC69" s="15"/>
      <c r="BD69" s="15">
        <v>1</v>
      </c>
      <c r="BE69" s="15">
        <v>0</v>
      </c>
      <c r="BF69" s="15">
        <f>5/5</f>
        <v>1</v>
      </c>
      <c r="BG69" s="15">
        <v>0</v>
      </c>
      <c r="BH69" s="15">
        <f>5/5</f>
        <v>1</v>
      </c>
      <c r="BI69" s="15">
        <v>34.145264000000005</v>
      </c>
      <c r="BJ69" s="15">
        <v>0</v>
      </c>
      <c r="BK69" s="15"/>
      <c r="BL69" s="15"/>
      <c r="BM69" s="15"/>
      <c r="BN69" s="15"/>
      <c r="BO69" s="15"/>
      <c r="BP69" s="15"/>
      <c r="BQ69" s="15"/>
      <c r="BR69" s="15"/>
      <c r="BS69" s="15">
        <v>0</v>
      </c>
      <c r="BT69" s="15">
        <f t="shared" si="23"/>
        <v>1</v>
      </c>
      <c r="BU69" s="15">
        <v>13.54457</v>
      </c>
      <c r="BV69" s="15">
        <v>0</v>
      </c>
      <c r="BW69" s="15">
        <v>0</v>
      </c>
      <c r="BX69" s="15"/>
      <c r="BY69" s="15"/>
      <c r="BZ69" s="15"/>
      <c r="CA69" s="15"/>
      <c r="CB69" s="15"/>
      <c r="CC69" s="15"/>
      <c r="CD69" s="15">
        <v>0</v>
      </c>
      <c r="CE69" s="15">
        <f>2/2</f>
        <v>1</v>
      </c>
      <c r="CF69" s="15">
        <v>41.084083</v>
      </c>
      <c r="CG69" s="15">
        <v>0.04</v>
      </c>
      <c r="CH69" s="15">
        <v>0</v>
      </c>
      <c r="CI69" s="15"/>
      <c r="CJ69" s="15"/>
      <c r="CK69" s="15">
        <f t="shared" si="22"/>
        <v>165.08444999999998</v>
      </c>
      <c r="CL69" s="15">
        <f>4/8</f>
        <v>0.5</v>
      </c>
      <c r="CM69" s="15">
        <v>2</v>
      </c>
      <c r="CN69" s="15">
        <v>1</v>
      </c>
      <c r="CO69" s="15">
        <f>Table1[[#This Row],[TotalTrapsRisked]]/5</f>
        <v>0.2</v>
      </c>
      <c r="CP69" s="15">
        <v>0</v>
      </c>
      <c r="CQ69" s="15">
        <v>1</v>
      </c>
      <c r="CR69" s="15">
        <v>0.97916666666666663</v>
      </c>
      <c r="CS69" s="15">
        <v>0.99090909090909096</v>
      </c>
      <c r="CT69" s="15">
        <v>2</v>
      </c>
      <c r="CU69" s="15">
        <v>453</v>
      </c>
      <c r="CV69" s="15">
        <v>1032</v>
      </c>
      <c r="CW69" s="15">
        <v>1</v>
      </c>
      <c r="CX69" s="15"/>
      <c r="CY69" s="15"/>
      <c r="CZ69" s="15"/>
      <c r="DA69" s="15"/>
      <c r="DB69" s="15"/>
      <c r="DC69" s="15"/>
      <c r="DD69" s="15">
        <v>0</v>
      </c>
      <c r="DE69" s="15">
        <v>0</v>
      </c>
      <c r="DF69" s="15">
        <v>5</v>
      </c>
      <c r="DG69" s="15">
        <v>4</v>
      </c>
      <c r="DH69" s="15">
        <v>4</v>
      </c>
      <c r="DI69" s="15">
        <v>3</v>
      </c>
      <c r="DJ69" s="15">
        <v>5</v>
      </c>
      <c r="DK69" s="15">
        <v>3</v>
      </c>
      <c r="DL69" s="15">
        <v>2</v>
      </c>
      <c r="DM69" s="15">
        <v>5</v>
      </c>
      <c r="DN69" s="15">
        <v>3</v>
      </c>
      <c r="DO69" s="15">
        <v>2</v>
      </c>
      <c r="DP69" s="15">
        <v>3</v>
      </c>
      <c r="DQ69" s="15">
        <v>5</v>
      </c>
      <c r="DR69" s="15">
        <v>3</v>
      </c>
      <c r="DS69" s="15">
        <v>4</v>
      </c>
      <c r="DT69" s="15">
        <v>5</v>
      </c>
      <c r="DU69" s="15">
        <v>4</v>
      </c>
      <c r="DV69" s="15">
        <v>5</v>
      </c>
      <c r="DW69" s="15">
        <v>4</v>
      </c>
      <c r="DX69" s="15">
        <v>4</v>
      </c>
      <c r="DY69" s="15">
        <v>5</v>
      </c>
      <c r="DZ69" s="15">
        <v>4</v>
      </c>
      <c r="EA69" s="15">
        <v>4</v>
      </c>
      <c r="EB69" s="15">
        <v>4</v>
      </c>
      <c r="EC69" s="15">
        <v>2</v>
      </c>
      <c r="ED69" s="15">
        <v>3</v>
      </c>
      <c r="EE69" s="15">
        <v>5</v>
      </c>
      <c r="EF69" s="15">
        <v>4</v>
      </c>
      <c r="EG69" s="15">
        <v>4</v>
      </c>
      <c r="EH69" s="15">
        <v>3</v>
      </c>
      <c r="EI69" s="15">
        <v>2</v>
      </c>
      <c r="EJ69" s="15">
        <v>5</v>
      </c>
      <c r="EK69" s="15">
        <v>3</v>
      </c>
      <c r="EL69" s="15">
        <v>5</v>
      </c>
      <c r="EM69" s="15">
        <v>4</v>
      </c>
      <c r="EN69" s="15">
        <v>4</v>
      </c>
      <c r="EO69" s="15">
        <v>1</v>
      </c>
      <c r="EP69" s="15">
        <v>1</v>
      </c>
      <c r="EQ69" s="15">
        <v>3</v>
      </c>
      <c r="ER69" s="15">
        <v>1</v>
      </c>
      <c r="ES69" s="15">
        <v>2</v>
      </c>
      <c r="ET69" s="15">
        <v>1</v>
      </c>
      <c r="EU69" s="15">
        <v>4</v>
      </c>
      <c r="EV69" s="15">
        <v>4</v>
      </c>
      <c r="EW69" s="15">
        <v>4</v>
      </c>
      <c r="EX69" s="15">
        <v>4</v>
      </c>
      <c r="EY69" s="15">
        <v>3</v>
      </c>
      <c r="EZ69" s="15">
        <v>5</v>
      </c>
      <c r="FA69" s="15">
        <v>2</v>
      </c>
      <c r="FB69" s="15">
        <v>1</v>
      </c>
      <c r="FC69" s="15">
        <v>4</v>
      </c>
      <c r="FD69" s="15">
        <v>2</v>
      </c>
      <c r="FE69" s="15">
        <v>5</v>
      </c>
      <c r="FF69" s="15">
        <v>3</v>
      </c>
      <c r="FG69" s="15">
        <v>3</v>
      </c>
      <c r="FH69" s="15">
        <v>5</v>
      </c>
      <c r="FI69" s="15">
        <v>4</v>
      </c>
      <c r="FJ69" s="15">
        <v>5</v>
      </c>
      <c r="FK69" s="15">
        <v>4</v>
      </c>
      <c r="FL69" s="15">
        <v>4</v>
      </c>
      <c r="FM69" s="15">
        <v>4</v>
      </c>
      <c r="FN69" s="15">
        <v>4</v>
      </c>
      <c r="FO69" s="15">
        <v>4</v>
      </c>
      <c r="FP69" s="15">
        <v>5</v>
      </c>
      <c r="FQ69" s="15">
        <v>4</v>
      </c>
      <c r="FR69" s="15">
        <v>4</v>
      </c>
      <c r="FS69" s="15">
        <v>4</v>
      </c>
      <c r="FT69" s="15">
        <v>4</v>
      </c>
      <c r="FU69" s="15">
        <v>4</v>
      </c>
      <c r="FV69" s="15" t="s">
        <v>312</v>
      </c>
      <c r="FW69" s="15">
        <v>2</v>
      </c>
      <c r="FX69" s="15">
        <v>5</v>
      </c>
      <c r="FY69" s="15">
        <v>4</v>
      </c>
      <c r="FZ69" s="15">
        <v>4</v>
      </c>
      <c r="GA69" s="15">
        <v>3</v>
      </c>
      <c r="GB69" s="15">
        <v>2</v>
      </c>
      <c r="GC69" s="15">
        <v>2</v>
      </c>
      <c r="GD69" s="15">
        <v>4</v>
      </c>
      <c r="GE69" s="15">
        <v>5</v>
      </c>
      <c r="GF69" s="15">
        <v>3</v>
      </c>
      <c r="GG69" s="15">
        <v>3</v>
      </c>
      <c r="GH69" s="15">
        <v>2</v>
      </c>
      <c r="GI69" s="15">
        <v>1</v>
      </c>
      <c r="GJ69" s="15">
        <v>4</v>
      </c>
      <c r="GK69" s="15">
        <v>3</v>
      </c>
      <c r="GL69" s="15">
        <v>2</v>
      </c>
      <c r="GM69" s="15">
        <v>3</v>
      </c>
      <c r="GN69" s="15">
        <v>2</v>
      </c>
      <c r="GO69" s="15">
        <v>5</v>
      </c>
      <c r="GP69" s="15">
        <v>1</v>
      </c>
      <c r="GQ69" s="15">
        <v>3</v>
      </c>
      <c r="GR69" s="15">
        <v>2</v>
      </c>
      <c r="GS69" s="15">
        <v>5</v>
      </c>
      <c r="GT69" s="15">
        <v>2</v>
      </c>
      <c r="GU69" s="15">
        <v>5</v>
      </c>
      <c r="GV69" s="15">
        <v>4</v>
      </c>
      <c r="GW69" s="15">
        <v>4</v>
      </c>
      <c r="GX69" s="15">
        <v>5</v>
      </c>
      <c r="GY69" s="15">
        <v>5</v>
      </c>
      <c r="GZ69" s="15">
        <v>1</v>
      </c>
      <c r="HA69" s="15">
        <v>1</v>
      </c>
      <c r="HB69" s="15">
        <v>2</v>
      </c>
      <c r="HC69" s="15">
        <v>4</v>
      </c>
      <c r="HD69" s="15">
        <v>3</v>
      </c>
      <c r="HE69" s="15">
        <v>1</v>
      </c>
      <c r="HF69" s="15">
        <v>2</v>
      </c>
      <c r="HG69" s="15">
        <v>1</v>
      </c>
      <c r="HH69" s="15">
        <v>2</v>
      </c>
      <c r="HI69" s="15">
        <v>5</v>
      </c>
      <c r="HJ69" s="15">
        <v>3</v>
      </c>
      <c r="HK69" s="15">
        <v>2</v>
      </c>
      <c r="HL69" s="15">
        <v>1</v>
      </c>
      <c r="HM69" s="15">
        <v>4</v>
      </c>
      <c r="HN69" s="15">
        <v>2</v>
      </c>
      <c r="HO69" s="15">
        <v>2</v>
      </c>
      <c r="HP69" s="15">
        <v>1</v>
      </c>
      <c r="HQ69" s="15">
        <v>4</v>
      </c>
      <c r="HR69" s="15">
        <v>1</v>
      </c>
      <c r="HS69" s="15">
        <v>4</v>
      </c>
      <c r="HT69" s="15">
        <v>4</v>
      </c>
      <c r="HU69" s="15">
        <v>3</v>
      </c>
      <c r="HV69" s="15">
        <v>2</v>
      </c>
      <c r="HW69" s="15">
        <v>4.25</v>
      </c>
      <c r="HX69" s="15">
        <v>2.75</v>
      </c>
      <c r="HY69" s="15">
        <v>4.5</v>
      </c>
      <c r="HZ69" s="15">
        <v>4.5</v>
      </c>
      <c r="IA69" s="15">
        <v>3.25</v>
      </c>
      <c r="IB69" s="15">
        <v>3.5</v>
      </c>
      <c r="IC69" s="15">
        <v>4.75</v>
      </c>
      <c r="ID69" s="15">
        <v>2.25</v>
      </c>
      <c r="IE69" s="15">
        <v>2.5</v>
      </c>
      <c r="IF69" s="15">
        <v>3.75</v>
      </c>
      <c r="IG69" s="15">
        <v>3.75</v>
      </c>
      <c r="IH69" s="15">
        <v>4</v>
      </c>
      <c r="II69" s="15">
        <v>3.25</v>
      </c>
      <c r="IJ69" s="15">
        <v>1.5</v>
      </c>
      <c r="IK69" s="15">
        <v>4</v>
      </c>
      <c r="IL69" s="15">
        <v>4</v>
      </c>
      <c r="IM69" s="15">
        <v>3.75</v>
      </c>
      <c r="IN69" s="15">
        <v>4.5</v>
      </c>
      <c r="IO69" s="15">
        <v>4.75</v>
      </c>
      <c r="IP69" s="15">
        <v>3.75</v>
      </c>
      <c r="IQ69" s="15">
        <v>3.75</v>
      </c>
      <c r="IR69" s="15">
        <v>3.5</v>
      </c>
      <c r="IS69" s="15">
        <v>3.5</v>
      </c>
      <c r="IT69" s="15">
        <v>3.75</v>
      </c>
      <c r="IU69" s="15">
        <v>3.25</v>
      </c>
      <c r="IV69" s="15">
        <v>4.25</v>
      </c>
      <c r="IW69" s="15">
        <v>4</v>
      </c>
      <c r="IX69" s="15">
        <v>3.5</v>
      </c>
      <c r="IY69" s="15">
        <v>4</v>
      </c>
      <c r="IZ69" s="15">
        <v>3.25</v>
      </c>
    </row>
    <row r="70" spans="1:260" s="12" customFormat="1" x14ac:dyDescent="0.3">
      <c r="A70" s="15">
        <v>73</v>
      </c>
      <c r="B70" s="15" t="s">
        <v>467</v>
      </c>
      <c r="C70" s="16">
        <v>46</v>
      </c>
      <c r="D70" s="15" t="s">
        <v>288</v>
      </c>
      <c r="E70" s="15" t="s">
        <v>289</v>
      </c>
      <c r="F70" s="15" t="s">
        <v>260</v>
      </c>
      <c r="G70" s="15" t="s">
        <v>283</v>
      </c>
      <c r="H70" s="15" t="s">
        <v>269</v>
      </c>
      <c r="I70" s="15" t="s">
        <v>270</v>
      </c>
      <c r="J70" s="15" t="s">
        <v>408</v>
      </c>
      <c r="K70" s="15" t="s">
        <v>272</v>
      </c>
      <c r="L70" s="15" t="s">
        <v>281</v>
      </c>
      <c r="M70" s="15" t="s">
        <v>409</v>
      </c>
      <c r="N70" s="15"/>
      <c r="O70" s="15"/>
      <c r="P70" s="15"/>
      <c r="Q70" s="15"/>
      <c r="R70" s="15"/>
      <c r="S70" s="15"/>
      <c r="T70" s="15"/>
      <c r="U70" s="15"/>
      <c r="V70" s="15">
        <v>1</v>
      </c>
      <c r="W70" s="15">
        <f>1/8</f>
        <v>0.125</v>
      </c>
      <c r="X70" s="15">
        <v>-1</v>
      </c>
      <c r="Y70" s="15">
        <f>1.0025</f>
        <v>1.0024999999999999</v>
      </c>
      <c r="Z70" s="15">
        <v>20</v>
      </c>
      <c r="AA70" s="15">
        <f>5/5</f>
        <v>1</v>
      </c>
      <c r="AB70" s="15">
        <f>13266.07/1000</f>
        <v>13.266069999999999</v>
      </c>
      <c r="AC70" s="15">
        <f>1.05*17+1.35*2+1.1</f>
        <v>21.650000000000002</v>
      </c>
      <c r="AD70" s="15">
        <v>0</v>
      </c>
      <c r="AE70" s="15">
        <f>AVERAGE(1,2)/2</f>
        <v>0.75</v>
      </c>
      <c r="AF70" s="15">
        <f>AVERAGE(4498.65,14025.79)/1000</f>
        <v>9.262220000000001</v>
      </c>
      <c r="AG70" s="15">
        <v>0</v>
      </c>
      <c r="AH70" s="15">
        <v>2</v>
      </c>
      <c r="AI70" s="15">
        <v>2</v>
      </c>
      <c r="AJ70" s="15">
        <f>0</f>
        <v>0</v>
      </c>
      <c r="AK70" s="15">
        <v>4</v>
      </c>
      <c r="AL70" s="15">
        <f>1/8</f>
        <v>0.125</v>
      </c>
      <c r="AM70" s="15">
        <f>27507.29/1000</f>
        <v>27.507290000000001</v>
      </c>
      <c r="AN70" s="15">
        <f>1.1*4+0.395</f>
        <v>4.7949999999999999</v>
      </c>
      <c r="AO70" s="15"/>
      <c r="AP70" s="15"/>
      <c r="AQ70" s="15"/>
      <c r="AR70" s="15"/>
      <c r="AS70" s="15">
        <v>0</v>
      </c>
      <c r="AT70" s="15"/>
      <c r="AU70" s="15"/>
      <c r="AV70" s="15"/>
      <c r="AW70" s="15"/>
      <c r="AX70" s="15"/>
      <c r="AY70" s="15"/>
      <c r="AZ70" s="15">
        <v>0</v>
      </c>
      <c r="BA70" s="15">
        <f t="shared" ref="BA70:BA78" si="24">2/2</f>
        <v>1</v>
      </c>
      <c r="BB70" s="15">
        <f>6454.821/1000</f>
        <v>6.4548209999999999</v>
      </c>
      <c r="BC70" s="15">
        <v>0</v>
      </c>
      <c r="BD70" s="15">
        <v>0</v>
      </c>
      <c r="BE70" s="15"/>
      <c r="BF70" s="15"/>
      <c r="BG70" s="15"/>
      <c r="BH70" s="15"/>
      <c r="BI70" s="15"/>
      <c r="BJ70" s="15"/>
      <c r="BK70" s="15">
        <v>0</v>
      </c>
      <c r="BL70" s="15">
        <f t="shared" ref="BL70:BL92" si="25">2/2</f>
        <v>1</v>
      </c>
      <c r="BM70" s="15">
        <f>21474.66/1000</f>
        <v>21.47466</v>
      </c>
      <c r="BN70" s="15">
        <v>0.56000000000000005</v>
      </c>
      <c r="BO70" s="15"/>
      <c r="BP70" s="15"/>
      <c r="BQ70" s="15"/>
      <c r="BR70" s="15"/>
      <c r="BS70" s="15">
        <v>0</v>
      </c>
      <c r="BT70" s="15">
        <f t="shared" si="23"/>
        <v>1</v>
      </c>
      <c r="BU70" s="15">
        <f>14486.87/1000</f>
        <v>14.486870000000001</v>
      </c>
      <c r="BV70" s="15">
        <v>0</v>
      </c>
      <c r="BW70" s="15">
        <v>0</v>
      </c>
      <c r="BX70" s="15"/>
      <c r="BY70" s="15"/>
      <c r="BZ70" s="15">
        <v>2</v>
      </c>
      <c r="CA70" s="15">
        <f>AVERAGE(0,2)/5</f>
        <v>0.2</v>
      </c>
      <c r="CB70" s="15"/>
      <c r="CC70" s="15">
        <f>1.05+1.0025</f>
        <v>2.0525000000000002</v>
      </c>
      <c r="CD70" s="15">
        <v>0</v>
      </c>
      <c r="CE70" s="15">
        <f>2/2</f>
        <v>1</v>
      </c>
      <c r="CF70" s="15">
        <f>24257.08/1000</f>
        <v>24.257080000000002</v>
      </c>
      <c r="CG70" s="15">
        <f>0.5625</f>
        <v>0.5625</v>
      </c>
      <c r="CH70" s="15">
        <v>0</v>
      </c>
      <c r="CI70" s="15"/>
      <c r="CJ70" s="15"/>
      <c r="CK70" s="15">
        <f t="shared" si="22"/>
        <v>115.70901099999999</v>
      </c>
      <c r="CL70" s="15">
        <f>4/8</f>
        <v>0.5</v>
      </c>
      <c r="CM70" s="15">
        <v>2</v>
      </c>
      <c r="CN70" s="15">
        <v>1</v>
      </c>
      <c r="CO70" s="15">
        <f>Table1[[#This Row],[TotalTrapsRisked]]/5</f>
        <v>0.2</v>
      </c>
      <c r="CP70" s="15">
        <v>0</v>
      </c>
      <c r="CQ70" s="15">
        <v>0</v>
      </c>
      <c r="CR70" s="15">
        <v>0.4375</v>
      </c>
      <c r="CS70" s="15">
        <v>0.68181818181818177</v>
      </c>
      <c r="CT70" s="15">
        <v>2</v>
      </c>
      <c r="CU70" s="15">
        <v>283</v>
      </c>
      <c r="CV70" s="15">
        <v>950</v>
      </c>
      <c r="CW70" s="15">
        <v>2</v>
      </c>
      <c r="CX70" s="15">
        <v>1</v>
      </c>
      <c r="CY70" s="15">
        <v>1</v>
      </c>
      <c r="CZ70" s="15">
        <v>3</v>
      </c>
      <c r="DA70" s="15">
        <v>283</v>
      </c>
      <c r="DB70" s="15">
        <v>1400</v>
      </c>
      <c r="DC70" s="15">
        <v>3</v>
      </c>
      <c r="DD70" s="15">
        <v>1</v>
      </c>
      <c r="DE70" s="15">
        <v>1</v>
      </c>
      <c r="DF70" s="15">
        <v>5</v>
      </c>
      <c r="DG70" s="15">
        <v>5</v>
      </c>
      <c r="DH70" s="15">
        <v>4</v>
      </c>
      <c r="DI70" s="15">
        <v>2</v>
      </c>
      <c r="DJ70" s="15">
        <v>4</v>
      </c>
      <c r="DK70" s="15">
        <v>4</v>
      </c>
      <c r="DL70" s="15">
        <v>4</v>
      </c>
      <c r="DM70" s="15">
        <v>5</v>
      </c>
      <c r="DN70" s="15">
        <v>2</v>
      </c>
      <c r="DO70" s="15">
        <v>5</v>
      </c>
      <c r="DP70" s="15">
        <v>2</v>
      </c>
      <c r="DQ70" s="15">
        <v>5</v>
      </c>
      <c r="DR70" s="15">
        <v>5</v>
      </c>
      <c r="DS70" s="15">
        <v>4</v>
      </c>
      <c r="DT70" s="15">
        <v>4</v>
      </c>
      <c r="DU70" s="15">
        <v>2</v>
      </c>
      <c r="DV70" s="15">
        <v>4</v>
      </c>
      <c r="DW70" s="15">
        <v>4</v>
      </c>
      <c r="DX70" s="15">
        <v>2</v>
      </c>
      <c r="DY70" s="15">
        <v>4</v>
      </c>
      <c r="DZ70" s="15">
        <v>4</v>
      </c>
      <c r="EA70" s="15">
        <v>5</v>
      </c>
      <c r="EB70" s="15">
        <v>4</v>
      </c>
      <c r="EC70" s="15">
        <v>4</v>
      </c>
      <c r="ED70" s="15">
        <v>4</v>
      </c>
      <c r="EE70" s="15">
        <v>4</v>
      </c>
      <c r="EF70" s="15">
        <v>4</v>
      </c>
      <c r="EG70" s="15">
        <v>3</v>
      </c>
      <c r="EH70" s="15">
        <v>4</v>
      </c>
      <c r="EI70" s="15">
        <v>4</v>
      </c>
      <c r="EJ70" s="15">
        <v>4</v>
      </c>
      <c r="EK70" s="15">
        <v>4</v>
      </c>
      <c r="EL70" s="15">
        <v>2</v>
      </c>
      <c r="EM70" s="15">
        <v>3</v>
      </c>
      <c r="EN70" s="15">
        <v>4</v>
      </c>
      <c r="EO70" s="15">
        <v>5</v>
      </c>
      <c r="EP70" s="15">
        <v>4</v>
      </c>
      <c r="EQ70" s="15">
        <v>5</v>
      </c>
      <c r="ER70" s="15">
        <v>2</v>
      </c>
      <c r="ES70" s="15">
        <v>1</v>
      </c>
      <c r="ET70" s="15">
        <v>2</v>
      </c>
      <c r="EU70" s="15">
        <v>5</v>
      </c>
      <c r="EV70" s="15">
        <v>4</v>
      </c>
      <c r="EW70" s="15">
        <v>4</v>
      </c>
      <c r="EX70" s="15">
        <v>4</v>
      </c>
      <c r="EY70" s="15">
        <v>2</v>
      </c>
      <c r="EZ70" s="15">
        <v>4</v>
      </c>
      <c r="FA70" s="15">
        <v>2</v>
      </c>
      <c r="FB70" s="15">
        <v>3</v>
      </c>
      <c r="FC70" s="15">
        <v>4</v>
      </c>
      <c r="FD70" s="15">
        <v>4</v>
      </c>
      <c r="FE70" s="15">
        <v>4</v>
      </c>
      <c r="FF70" s="15">
        <v>3</v>
      </c>
      <c r="FG70" s="15">
        <v>5</v>
      </c>
      <c r="FH70" s="15">
        <v>5</v>
      </c>
      <c r="FI70" s="15">
        <v>2</v>
      </c>
      <c r="FJ70" s="15">
        <v>4</v>
      </c>
      <c r="FK70" s="15">
        <v>2</v>
      </c>
      <c r="FL70" s="15">
        <v>4</v>
      </c>
      <c r="FM70" s="15">
        <v>1</v>
      </c>
      <c r="FN70" s="15">
        <v>3</v>
      </c>
      <c r="FO70" s="15">
        <v>2</v>
      </c>
      <c r="FP70" s="15">
        <v>4</v>
      </c>
      <c r="FQ70" s="15">
        <v>3</v>
      </c>
      <c r="FR70" s="15">
        <v>4</v>
      </c>
      <c r="FS70" s="15">
        <v>4</v>
      </c>
      <c r="FT70" s="15">
        <v>2</v>
      </c>
      <c r="FU70" s="15">
        <v>2</v>
      </c>
      <c r="FV70" s="15">
        <v>4</v>
      </c>
      <c r="FW70" s="15">
        <v>2</v>
      </c>
      <c r="FX70" s="15">
        <v>1</v>
      </c>
      <c r="FY70" s="15">
        <v>2</v>
      </c>
      <c r="FZ70" s="15">
        <v>5</v>
      </c>
      <c r="GA70" s="15">
        <v>2</v>
      </c>
      <c r="GB70" s="15">
        <v>2</v>
      </c>
      <c r="GC70" s="15">
        <v>2</v>
      </c>
      <c r="GD70" s="15">
        <v>2</v>
      </c>
      <c r="GE70" s="15">
        <v>5</v>
      </c>
      <c r="GF70" s="15">
        <v>2</v>
      </c>
      <c r="GG70" s="15">
        <v>4</v>
      </c>
      <c r="GH70" s="15">
        <v>2</v>
      </c>
      <c r="GI70" s="15">
        <v>2</v>
      </c>
      <c r="GJ70" s="15">
        <v>4</v>
      </c>
      <c r="GK70" s="15">
        <v>4</v>
      </c>
      <c r="GL70" s="15">
        <v>4</v>
      </c>
      <c r="GM70" s="15">
        <v>4</v>
      </c>
      <c r="GN70" s="15">
        <v>3</v>
      </c>
      <c r="GO70" s="15">
        <v>5</v>
      </c>
      <c r="GP70" s="15">
        <v>3</v>
      </c>
      <c r="GQ70" s="15">
        <v>2</v>
      </c>
      <c r="GR70" s="15">
        <v>1</v>
      </c>
      <c r="GS70" s="15">
        <v>4</v>
      </c>
      <c r="GT70" s="15">
        <v>1</v>
      </c>
      <c r="GU70" s="15">
        <v>3</v>
      </c>
      <c r="GV70" s="15">
        <v>3</v>
      </c>
      <c r="GW70" s="15">
        <v>5</v>
      </c>
      <c r="GX70" s="15">
        <v>2</v>
      </c>
      <c r="GY70" s="15">
        <v>2</v>
      </c>
      <c r="GZ70" s="15">
        <v>1</v>
      </c>
      <c r="HA70" s="15">
        <v>2</v>
      </c>
      <c r="HB70" s="15">
        <v>1</v>
      </c>
      <c r="HC70" s="15">
        <v>4</v>
      </c>
      <c r="HD70" s="15">
        <v>1</v>
      </c>
      <c r="HE70" s="15">
        <v>1</v>
      </c>
      <c r="HF70" s="15">
        <v>1</v>
      </c>
      <c r="HG70" s="15">
        <v>2</v>
      </c>
      <c r="HH70" s="15">
        <v>1</v>
      </c>
      <c r="HI70" s="15">
        <v>2</v>
      </c>
      <c r="HJ70" s="15">
        <v>2</v>
      </c>
      <c r="HK70" s="15">
        <v>2</v>
      </c>
      <c r="HL70" s="15">
        <v>1</v>
      </c>
      <c r="HM70" s="15">
        <v>2</v>
      </c>
      <c r="HN70" s="15">
        <v>3</v>
      </c>
      <c r="HO70" s="15">
        <v>2</v>
      </c>
      <c r="HP70" s="15">
        <v>4</v>
      </c>
      <c r="HQ70" s="15">
        <v>2</v>
      </c>
      <c r="HR70" s="15">
        <v>2</v>
      </c>
      <c r="HS70" s="15">
        <v>4</v>
      </c>
      <c r="HT70" s="15">
        <v>4</v>
      </c>
      <c r="HU70" s="15">
        <v>1</v>
      </c>
      <c r="HV70" s="15">
        <v>1</v>
      </c>
      <c r="HW70" s="15">
        <v>4.25</v>
      </c>
      <c r="HX70" s="15">
        <v>5</v>
      </c>
      <c r="HY70" s="15">
        <v>4</v>
      </c>
      <c r="HZ70" s="15">
        <v>4.25</v>
      </c>
      <c r="IA70" s="15">
        <v>3.75</v>
      </c>
      <c r="IB70" s="15">
        <v>4.25</v>
      </c>
      <c r="IC70" s="15">
        <v>4</v>
      </c>
      <c r="ID70" s="15">
        <v>4.25</v>
      </c>
      <c r="IE70" s="15">
        <v>2</v>
      </c>
      <c r="IF70" s="15">
        <v>2.75</v>
      </c>
      <c r="IG70" s="15">
        <v>3.5</v>
      </c>
      <c r="IH70" s="15">
        <v>3.25</v>
      </c>
      <c r="II70" s="15">
        <v>4.5</v>
      </c>
      <c r="IJ70" s="15">
        <v>4</v>
      </c>
      <c r="IK70" s="15">
        <v>5</v>
      </c>
      <c r="IL70" s="15">
        <v>4.25</v>
      </c>
      <c r="IM70" s="15">
        <v>4</v>
      </c>
      <c r="IN70" s="15">
        <v>4.25</v>
      </c>
      <c r="IO70" s="15">
        <v>3.25</v>
      </c>
      <c r="IP70" s="15">
        <v>4.75</v>
      </c>
      <c r="IQ70" s="15">
        <v>4.5</v>
      </c>
      <c r="IR70" s="15">
        <v>4</v>
      </c>
      <c r="IS70" s="15">
        <v>3.25</v>
      </c>
      <c r="IT70" s="15">
        <v>2.5</v>
      </c>
      <c r="IU70" s="15">
        <v>2.75</v>
      </c>
      <c r="IV70" s="15">
        <v>4</v>
      </c>
      <c r="IW70" s="15">
        <v>4.25</v>
      </c>
      <c r="IX70" s="15">
        <v>3.25</v>
      </c>
      <c r="IY70" s="15">
        <v>1.75</v>
      </c>
      <c r="IZ70" s="15">
        <v>4.25</v>
      </c>
    </row>
    <row r="71" spans="1:260" s="12" customFormat="1" x14ac:dyDescent="0.3">
      <c r="A71" s="15">
        <v>74</v>
      </c>
      <c r="B71" s="15" t="s">
        <v>468</v>
      </c>
      <c r="C71" s="16">
        <v>55</v>
      </c>
      <c r="D71" s="15" t="s">
        <v>288</v>
      </c>
      <c r="E71" s="15" t="s">
        <v>366</v>
      </c>
      <c r="F71" s="15" t="s">
        <v>260</v>
      </c>
      <c r="G71" s="15" t="s">
        <v>302</v>
      </c>
      <c r="H71" s="15" t="s">
        <v>269</v>
      </c>
      <c r="I71" s="15" t="s">
        <v>270</v>
      </c>
      <c r="J71" s="15" t="s">
        <v>410</v>
      </c>
      <c r="K71" s="15" t="s">
        <v>342</v>
      </c>
      <c r="L71" s="15" t="s">
        <v>281</v>
      </c>
      <c r="M71" s="15" t="s">
        <v>411</v>
      </c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>
        <v>4</v>
      </c>
      <c r="AA71" s="15">
        <v>0</v>
      </c>
      <c r="AB71" s="15"/>
      <c r="AC71" s="15">
        <f>1.05*3+1</f>
        <v>4.1500000000000004</v>
      </c>
      <c r="AD71" s="15">
        <v>0</v>
      </c>
      <c r="AE71" s="15">
        <f>2/2</f>
        <v>1</v>
      </c>
      <c r="AF71" s="15">
        <f>24338.01/1000</f>
        <v>24.338009999999997</v>
      </c>
      <c r="AG71" s="15">
        <v>0</v>
      </c>
      <c r="AH71" s="15">
        <v>1</v>
      </c>
      <c r="AI71" s="15">
        <v>0</v>
      </c>
      <c r="AJ71" s="15">
        <f>5/5</f>
        <v>1</v>
      </c>
      <c r="AK71" s="15">
        <v>2</v>
      </c>
      <c r="AL71" s="15">
        <f>AVERAGE(1,4)/8</f>
        <v>0.3125</v>
      </c>
      <c r="AM71" s="15"/>
      <c r="AN71" s="15">
        <f>1.1*2</f>
        <v>2.2000000000000002</v>
      </c>
      <c r="AO71" s="15">
        <v>0</v>
      </c>
      <c r="AP71" s="15">
        <f>3/3</f>
        <v>1</v>
      </c>
      <c r="AQ71" s="15">
        <f>AVERAGE(12566.37,14996.58)/1000</f>
        <v>13.781475</v>
      </c>
      <c r="AR71" s="15">
        <v>0</v>
      </c>
      <c r="AS71" s="15">
        <v>1</v>
      </c>
      <c r="AT71" s="15">
        <v>1</v>
      </c>
      <c r="AU71" s="15"/>
      <c r="AV71" s="15"/>
      <c r="AW71" s="15"/>
      <c r="AX71" s="15"/>
      <c r="AY71" s="15"/>
      <c r="AZ71" s="15">
        <v>0</v>
      </c>
      <c r="BA71" s="15">
        <f t="shared" si="24"/>
        <v>1</v>
      </c>
      <c r="BB71" s="15">
        <f>19521.07/1000</f>
        <v>19.521069999999998</v>
      </c>
      <c r="BC71" s="15">
        <v>0</v>
      </c>
      <c r="BD71" s="15">
        <v>1</v>
      </c>
      <c r="BE71" s="15">
        <v>0</v>
      </c>
      <c r="BF71" s="15">
        <f>5/5</f>
        <v>1</v>
      </c>
      <c r="BG71" s="15"/>
      <c r="BH71" s="15"/>
      <c r="BI71" s="15"/>
      <c r="BJ71" s="15"/>
      <c r="BK71" s="15">
        <v>0</v>
      </c>
      <c r="BL71" s="15">
        <f t="shared" si="25"/>
        <v>1</v>
      </c>
      <c r="BM71" s="15">
        <f>9392.023/1000</f>
        <v>9.392023</v>
      </c>
      <c r="BN71" s="15">
        <f>0</f>
        <v>0</v>
      </c>
      <c r="BO71" s="15"/>
      <c r="BP71" s="15"/>
      <c r="BQ71" s="15"/>
      <c r="BR71" s="15"/>
      <c r="BS71" s="15">
        <v>0</v>
      </c>
      <c r="BT71" s="15">
        <f t="shared" si="23"/>
        <v>1</v>
      </c>
      <c r="BU71" s="15">
        <f>17425.64/1000</f>
        <v>17.425639999999998</v>
      </c>
      <c r="BV71" s="15">
        <v>0</v>
      </c>
      <c r="BW71" s="15">
        <v>1</v>
      </c>
      <c r="BX71" s="15">
        <v>0</v>
      </c>
      <c r="BY71" s="15">
        <f>6/6</f>
        <v>1</v>
      </c>
      <c r="BZ71" s="15"/>
      <c r="CA71" s="15"/>
      <c r="CB71" s="15"/>
      <c r="CC71" s="15"/>
      <c r="CD71" s="15">
        <v>0</v>
      </c>
      <c r="CE71" s="15">
        <f>2/2</f>
        <v>1</v>
      </c>
      <c r="CF71" s="15">
        <f>19205.34/1000</f>
        <v>19.20534</v>
      </c>
      <c r="CG71" s="15">
        <f>0.0025</f>
        <v>2.5000000000000001E-3</v>
      </c>
      <c r="CH71" s="15">
        <v>0</v>
      </c>
      <c r="CI71" s="15"/>
      <c r="CJ71" s="15"/>
      <c r="CK71" s="15">
        <f t="shared" si="22"/>
        <v>103.66355799999999</v>
      </c>
      <c r="CL71" s="15">
        <f>2/8</f>
        <v>0.25</v>
      </c>
      <c r="CM71" s="15">
        <v>2</v>
      </c>
      <c r="CN71" s="15">
        <v>4</v>
      </c>
      <c r="CO71" s="15">
        <f>Table1[[#This Row],[TotalTrapsRisked]]/5</f>
        <v>0.8</v>
      </c>
      <c r="CP71" s="15">
        <v>0</v>
      </c>
      <c r="CQ71" s="15">
        <v>0</v>
      </c>
      <c r="CR71" s="15">
        <v>0.70833333333333337</v>
      </c>
      <c r="CS71" s="15">
        <v>0.87272727272727268</v>
      </c>
      <c r="CT71" s="15">
        <v>1</v>
      </c>
      <c r="CU71" s="15">
        <v>451</v>
      </c>
      <c r="CV71" s="15">
        <v>848</v>
      </c>
      <c r="CW71" s="15">
        <v>1</v>
      </c>
      <c r="CX71" s="15"/>
      <c r="CY71" s="15"/>
      <c r="CZ71" s="15"/>
      <c r="DA71" s="15"/>
      <c r="DB71" s="15"/>
      <c r="DC71" s="15"/>
      <c r="DD71" s="15">
        <v>0</v>
      </c>
      <c r="DE71" s="15">
        <v>0</v>
      </c>
      <c r="DF71" s="15">
        <v>5</v>
      </c>
      <c r="DG71" s="15">
        <v>3</v>
      </c>
      <c r="DH71" s="15">
        <v>3</v>
      </c>
      <c r="DI71" s="15">
        <v>2</v>
      </c>
      <c r="DJ71" s="15">
        <v>5</v>
      </c>
      <c r="DK71" s="15">
        <v>4</v>
      </c>
      <c r="DL71" s="15">
        <v>2</v>
      </c>
      <c r="DM71" s="15">
        <v>3</v>
      </c>
      <c r="DN71" s="15">
        <v>1</v>
      </c>
      <c r="DO71" s="15">
        <v>1</v>
      </c>
      <c r="DP71" s="15">
        <v>4</v>
      </c>
      <c r="DQ71" s="15">
        <v>5</v>
      </c>
      <c r="DR71" s="15">
        <v>3</v>
      </c>
      <c r="DS71" s="15">
        <v>3</v>
      </c>
      <c r="DT71" s="15">
        <v>5</v>
      </c>
      <c r="DU71" s="15">
        <v>3</v>
      </c>
      <c r="DV71" s="15">
        <v>4</v>
      </c>
      <c r="DW71" s="15">
        <v>3</v>
      </c>
      <c r="DX71" s="15">
        <v>1</v>
      </c>
      <c r="DY71" s="15">
        <v>5</v>
      </c>
      <c r="DZ71" s="15">
        <v>3</v>
      </c>
      <c r="EA71" s="15">
        <v>2</v>
      </c>
      <c r="EB71" s="15">
        <v>5</v>
      </c>
      <c r="EC71" s="15">
        <v>2</v>
      </c>
      <c r="ED71" s="15">
        <v>3</v>
      </c>
      <c r="EE71" s="15">
        <v>5</v>
      </c>
      <c r="EF71" s="15">
        <v>2</v>
      </c>
      <c r="EG71" s="15">
        <v>3</v>
      </c>
      <c r="EH71" s="15">
        <v>3</v>
      </c>
      <c r="EI71" s="15">
        <v>3</v>
      </c>
      <c r="EJ71" s="15">
        <v>5</v>
      </c>
      <c r="EK71" s="15">
        <v>3</v>
      </c>
      <c r="EL71" s="15">
        <v>1</v>
      </c>
      <c r="EM71" s="15">
        <v>1</v>
      </c>
      <c r="EN71" s="15">
        <v>3</v>
      </c>
      <c r="EO71" s="15">
        <v>4</v>
      </c>
      <c r="EP71" s="15">
        <v>2</v>
      </c>
      <c r="EQ71" s="15">
        <v>3</v>
      </c>
      <c r="ER71" s="15">
        <v>1</v>
      </c>
      <c r="ES71" s="15">
        <v>5</v>
      </c>
      <c r="ET71" s="15">
        <v>3</v>
      </c>
      <c r="EU71" s="15">
        <v>3</v>
      </c>
      <c r="EV71" s="15">
        <v>3</v>
      </c>
      <c r="EW71" s="15">
        <v>4</v>
      </c>
      <c r="EX71" s="15">
        <v>5</v>
      </c>
      <c r="EY71" s="15">
        <v>5</v>
      </c>
      <c r="EZ71" s="15">
        <v>3</v>
      </c>
      <c r="FA71" s="15">
        <v>4</v>
      </c>
      <c r="FB71" s="15">
        <v>3</v>
      </c>
      <c r="FC71" s="15">
        <v>5</v>
      </c>
      <c r="FD71" s="15">
        <v>4</v>
      </c>
      <c r="FE71" s="15">
        <v>2</v>
      </c>
      <c r="FF71" s="15">
        <v>5</v>
      </c>
      <c r="FG71" s="15">
        <v>3</v>
      </c>
      <c r="FH71" s="15">
        <v>4</v>
      </c>
      <c r="FI71" s="15">
        <v>3</v>
      </c>
      <c r="FJ71" s="15">
        <v>3</v>
      </c>
      <c r="FK71" s="15">
        <v>3</v>
      </c>
      <c r="FL71" s="15">
        <v>4</v>
      </c>
      <c r="FM71" s="15">
        <v>3</v>
      </c>
      <c r="FN71" s="15">
        <v>4</v>
      </c>
      <c r="FO71" s="15">
        <v>3</v>
      </c>
      <c r="FP71" s="15">
        <v>2</v>
      </c>
      <c r="FQ71" s="15">
        <v>2</v>
      </c>
      <c r="FR71" s="15">
        <v>3</v>
      </c>
      <c r="FS71" s="15">
        <v>3</v>
      </c>
      <c r="FT71" s="15">
        <v>4</v>
      </c>
      <c r="FU71" s="15">
        <v>3</v>
      </c>
      <c r="FV71" s="15">
        <v>4</v>
      </c>
      <c r="FW71" s="15">
        <v>1</v>
      </c>
      <c r="FX71" s="15">
        <v>5</v>
      </c>
      <c r="FY71" s="15">
        <v>4</v>
      </c>
      <c r="FZ71" s="15">
        <v>3</v>
      </c>
      <c r="GA71" s="15">
        <v>2</v>
      </c>
      <c r="GB71" s="15">
        <v>2</v>
      </c>
      <c r="GC71" s="15">
        <v>2</v>
      </c>
      <c r="GD71" s="15">
        <v>3</v>
      </c>
      <c r="GE71" s="15">
        <v>1</v>
      </c>
      <c r="GF71" s="15">
        <v>5</v>
      </c>
      <c r="GG71" s="15">
        <v>2</v>
      </c>
      <c r="GH71" s="15">
        <v>3</v>
      </c>
      <c r="GI71" s="15">
        <v>2</v>
      </c>
      <c r="GJ71" s="15">
        <v>3</v>
      </c>
      <c r="GK71" s="15">
        <v>3</v>
      </c>
      <c r="GL71" s="15">
        <v>2</v>
      </c>
      <c r="GM71" s="15">
        <v>4</v>
      </c>
      <c r="GN71" s="15">
        <v>3</v>
      </c>
      <c r="GO71" s="15">
        <v>3</v>
      </c>
      <c r="GP71" s="15">
        <v>3</v>
      </c>
      <c r="GQ71" s="15">
        <v>3</v>
      </c>
      <c r="GR71" s="15">
        <v>3</v>
      </c>
      <c r="GS71" s="15">
        <v>4</v>
      </c>
      <c r="GT71" s="15">
        <v>3</v>
      </c>
      <c r="GU71" s="15">
        <v>3</v>
      </c>
      <c r="GV71" s="15">
        <v>4</v>
      </c>
      <c r="GW71" s="15">
        <v>3</v>
      </c>
      <c r="GX71" s="15">
        <v>2</v>
      </c>
      <c r="GY71" s="15">
        <v>4</v>
      </c>
      <c r="GZ71" s="15">
        <v>3</v>
      </c>
      <c r="HA71" s="15">
        <v>3</v>
      </c>
      <c r="HB71" s="15">
        <v>5</v>
      </c>
      <c r="HC71" s="15">
        <v>3</v>
      </c>
      <c r="HD71" s="15">
        <v>4</v>
      </c>
      <c r="HE71" s="15">
        <v>3</v>
      </c>
      <c r="HF71" s="15">
        <v>2</v>
      </c>
      <c r="HG71" s="15">
        <v>2</v>
      </c>
      <c r="HH71" s="15">
        <v>2</v>
      </c>
      <c r="HI71" s="15">
        <v>4</v>
      </c>
      <c r="HJ71" s="15">
        <v>3</v>
      </c>
      <c r="HK71" s="15">
        <v>2</v>
      </c>
      <c r="HL71" s="15">
        <v>2</v>
      </c>
      <c r="HM71" s="15">
        <v>3</v>
      </c>
      <c r="HN71" s="15">
        <v>2</v>
      </c>
      <c r="HO71" s="15">
        <v>5</v>
      </c>
      <c r="HP71" s="15">
        <v>1</v>
      </c>
      <c r="HQ71" s="15">
        <v>2</v>
      </c>
      <c r="HR71" s="15">
        <v>2</v>
      </c>
      <c r="HS71" s="15">
        <v>3</v>
      </c>
      <c r="HT71" s="15">
        <v>4</v>
      </c>
      <c r="HU71" s="15">
        <v>2</v>
      </c>
      <c r="HV71" s="15">
        <v>2</v>
      </c>
      <c r="HW71" s="15">
        <v>3.5</v>
      </c>
      <c r="HX71" s="15">
        <v>1</v>
      </c>
      <c r="HY71" s="15">
        <v>4.5</v>
      </c>
      <c r="HZ71" s="15">
        <v>4.25</v>
      </c>
      <c r="IA71" s="15">
        <v>3.25</v>
      </c>
      <c r="IB71" s="15">
        <v>3.25</v>
      </c>
      <c r="IC71" s="15">
        <v>4.5</v>
      </c>
      <c r="ID71" s="15">
        <v>3.75</v>
      </c>
      <c r="IE71" s="15">
        <v>3.5</v>
      </c>
      <c r="IF71" s="15">
        <v>3.75</v>
      </c>
      <c r="IG71" s="15">
        <v>3</v>
      </c>
      <c r="IH71" s="15">
        <v>3.75</v>
      </c>
      <c r="II71" s="15">
        <v>3</v>
      </c>
      <c r="IJ71" s="15">
        <v>2</v>
      </c>
      <c r="IK71" s="15">
        <v>3.25</v>
      </c>
      <c r="IL71" s="15">
        <v>2.5</v>
      </c>
      <c r="IM71" s="15">
        <v>2.25</v>
      </c>
      <c r="IN71" s="15">
        <v>2.75</v>
      </c>
      <c r="IO71" s="15">
        <v>2.25</v>
      </c>
      <c r="IP71" s="15">
        <v>3</v>
      </c>
      <c r="IQ71" s="15">
        <v>3.25</v>
      </c>
      <c r="IR71" s="15">
        <v>2.25</v>
      </c>
      <c r="IS71" s="15">
        <v>2.5</v>
      </c>
      <c r="IT71" s="15">
        <v>2.75</v>
      </c>
      <c r="IU71" s="15">
        <v>1.75</v>
      </c>
      <c r="IV71" s="15">
        <v>4.5</v>
      </c>
      <c r="IW71" s="15">
        <v>3.75</v>
      </c>
      <c r="IX71" s="15">
        <v>4</v>
      </c>
      <c r="IY71" s="15">
        <v>4</v>
      </c>
      <c r="IZ71" s="15">
        <v>3.5</v>
      </c>
    </row>
    <row r="72" spans="1:260" s="12" customFormat="1" x14ac:dyDescent="0.3">
      <c r="A72" s="15">
        <v>75</v>
      </c>
      <c r="B72" s="15" t="s">
        <v>468</v>
      </c>
      <c r="C72" s="16">
        <v>57</v>
      </c>
      <c r="D72" s="15" t="s">
        <v>258</v>
      </c>
      <c r="E72" s="15" t="s">
        <v>289</v>
      </c>
      <c r="F72" s="15" t="s">
        <v>290</v>
      </c>
      <c r="G72" s="15" t="s">
        <v>302</v>
      </c>
      <c r="H72" s="15" t="s">
        <v>269</v>
      </c>
      <c r="I72" s="15" t="s">
        <v>270</v>
      </c>
      <c r="J72" s="15" t="s">
        <v>412</v>
      </c>
      <c r="K72" s="15" t="s">
        <v>272</v>
      </c>
      <c r="L72" s="15" t="s">
        <v>286</v>
      </c>
      <c r="M72" s="15" t="s">
        <v>413</v>
      </c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>
        <v>0</v>
      </c>
      <c r="AE72" s="15">
        <f>2/2</f>
        <v>1</v>
      </c>
      <c r="AF72" s="15">
        <f>AVERAGE(6660.859,8920.156)/1000</f>
        <v>7.7905075000000004</v>
      </c>
      <c r="AG72" s="15">
        <v>0</v>
      </c>
      <c r="AH72" s="15">
        <v>2</v>
      </c>
      <c r="AI72" s="15">
        <v>1</v>
      </c>
      <c r="AJ72" s="15">
        <f>5/5</f>
        <v>1</v>
      </c>
      <c r="AK72" s="15">
        <v>3</v>
      </c>
      <c r="AL72" s="15">
        <f>AVERAGE(1,1,3)/5</f>
        <v>0.33333333333333337</v>
      </c>
      <c r="AM72" s="15"/>
      <c r="AN72" s="15">
        <f>1.1*3</f>
        <v>3.3000000000000003</v>
      </c>
      <c r="AO72" s="15">
        <v>0</v>
      </c>
      <c r="AP72" s="15">
        <f>3/3</f>
        <v>1</v>
      </c>
      <c r="AQ72" s="15">
        <f>14289.32/1000</f>
        <v>14.28932</v>
      </c>
      <c r="AR72" s="15">
        <f>0</f>
        <v>0</v>
      </c>
      <c r="AS72" s="15">
        <v>0</v>
      </c>
      <c r="AT72" s="15"/>
      <c r="AU72" s="15"/>
      <c r="AV72" s="15"/>
      <c r="AW72" s="15"/>
      <c r="AX72" s="15"/>
      <c r="AY72" s="15"/>
      <c r="AZ72" s="15">
        <v>0</v>
      </c>
      <c r="BA72" s="15">
        <f t="shared" si="24"/>
        <v>1</v>
      </c>
      <c r="BB72" s="15">
        <f>14057.05/1000</f>
        <v>14.057049999999998</v>
      </c>
      <c r="BC72" s="15">
        <f>0</f>
        <v>0</v>
      </c>
      <c r="BD72" s="15">
        <v>0</v>
      </c>
      <c r="BE72" s="15"/>
      <c r="BF72" s="15"/>
      <c r="BG72" s="15"/>
      <c r="BH72" s="15"/>
      <c r="BI72" s="15"/>
      <c r="BJ72" s="15"/>
      <c r="BK72" s="15">
        <v>0</v>
      </c>
      <c r="BL72" s="15">
        <f t="shared" si="25"/>
        <v>1</v>
      </c>
      <c r="BM72" s="15">
        <f>22086.66/1000</f>
        <v>22.086659999999998</v>
      </c>
      <c r="BN72" s="15">
        <f>0.12</f>
        <v>0.12</v>
      </c>
      <c r="BO72" s="15">
        <v>1</v>
      </c>
      <c r="BP72" s="15">
        <v>0</v>
      </c>
      <c r="BQ72" s="15"/>
      <c r="BR72" s="15">
        <f>1.05</f>
        <v>1.05</v>
      </c>
      <c r="BS72" s="15">
        <v>0</v>
      </c>
      <c r="BT72" s="15">
        <f t="shared" si="23"/>
        <v>1</v>
      </c>
      <c r="BU72" s="15">
        <f>10054.51/1000</f>
        <v>10.054510000000001</v>
      </c>
      <c r="BV72" s="15">
        <v>0</v>
      </c>
      <c r="BW72" s="15">
        <v>0</v>
      </c>
      <c r="BX72" s="15"/>
      <c r="BY72" s="15"/>
      <c r="BZ72" s="15"/>
      <c r="CA72" s="15"/>
      <c r="CB72" s="15"/>
      <c r="CC72" s="15"/>
      <c r="CD72" s="15">
        <v>0</v>
      </c>
      <c r="CE72" s="15">
        <f>2/2</f>
        <v>1</v>
      </c>
      <c r="CF72" s="15">
        <f>23694.4/1000</f>
        <v>23.694400000000002</v>
      </c>
      <c r="CG72" s="15">
        <f>0.215</f>
        <v>0.215</v>
      </c>
      <c r="CH72" s="15">
        <v>0</v>
      </c>
      <c r="CI72" s="15"/>
      <c r="CJ72" s="15"/>
      <c r="CK72" s="15">
        <f t="shared" si="22"/>
        <v>91.972447499999987</v>
      </c>
      <c r="CL72" s="15">
        <f>2/8</f>
        <v>0.25</v>
      </c>
      <c r="CM72" s="15">
        <v>1</v>
      </c>
      <c r="CN72" s="15">
        <v>1</v>
      </c>
      <c r="CO72" s="15">
        <f>Table1[[#This Row],[TotalTrapsRisked]]/5</f>
        <v>0.2</v>
      </c>
      <c r="CP72" s="15">
        <v>0</v>
      </c>
      <c r="CQ72" s="15">
        <v>0</v>
      </c>
      <c r="CR72" s="15">
        <v>0.70833333333333337</v>
      </c>
      <c r="CS72" s="15">
        <v>0.87272727272727268</v>
      </c>
      <c r="CT72" s="15">
        <v>1</v>
      </c>
      <c r="CU72" s="15">
        <v>653</v>
      </c>
      <c r="CV72" s="15">
        <v>742</v>
      </c>
      <c r="CW72" s="15">
        <v>0</v>
      </c>
      <c r="CX72" s="15"/>
      <c r="CY72" s="15"/>
      <c r="CZ72" s="15"/>
      <c r="DA72" s="15"/>
      <c r="DB72" s="15"/>
      <c r="DC72" s="15"/>
      <c r="DD72" s="15">
        <v>0</v>
      </c>
      <c r="DE72" s="15">
        <v>0</v>
      </c>
      <c r="DF72" s="15">
        <v>4</v>
      </c>
      <c r="DG72" s="15">
        <v>3</v>
      </c>
      <c r="DH72" s="15">
        <v>4</v>
      </c>
      <c r="DI72" s="15">
        <v>4</v>
      </c>
      <c r="DJ72" s="15">
        <v>4</v>
      </c>
      <c r="DK72" s="15">
        <v>4</v>
      </c>
      <c r="DL72" s="15">
        <v>2</v>
      </c>
      <c r="DM72" s="15">
        <v>4</v>
      </c>
      <c r="DN72" s="15">
        <v>1</v>
      </c>
      <c r="DO72" s="15">
        <v>4</v>
      </c>
      <c r="DP72" s="15">
        <v>3</v>
      </c>
      <c r="DQ72" s="15">
        <v>3</v>
      </c>
      <c r="DR72" s="15">
        <v>4</v>
      </c>
      <c r="DS72" s="15">
        <v>5</v>
      </c>
      <c r="DT72" s="15">
        <v>4</v>
      </c>
      <c r="DU72" s="15">
        <v>3</v>
      </c>
      <c r="DV72" s="15">
        <v>4</v>
      </c>
      <c r="DW72" s="15">
        <v>1</v>
      </c>
      <c r="DX72" s="15">
        <v>2</v>
      </c>
      <c r="DY72" s="15">
        <v>3</v>
      </c>
      <c r="DZ72" s="15">
        <v>3</v>
      </c>
      <c r="EA72" s="15">
        <v>4</v>
      </c>
      <c r="EB72" s="15">
        <v>4</v>
      </c>
      <c r="EC72" s="15">
        <v>2</v>
      </c>
      <c r="ED72" s="15">
        <v>2</v>
      </c>
      <c r="EE72" s="15">
        <v>2</v>
      </c>
      <c r="EF72" s="15">
        <v>3</v>
      </c>
      <c r="EG72" s="15">
        <v>1</v>
      </c>
      <c r="EH72" s="15">
        <v>4</v>
      </c>
      <c r="EI72" s="15">
        <v>1</v>
      </c>
      <c r="EJ72" s="15">
        <v>2</v>
      </c>
      <c r="EK72" s="15">
        <v>3</v>
      </c>
      <c r="EL72" s="15">
        <v>2</v>
      </c>
      <c r="EM72" s="15">
        <v>4</v>
      </c>
      <c r="EN72" s="15">
        <v>3</v>
      </c>
      <c r="EO72" s="15">
        <v>4</v>
      </c>
      <c r="EP72" s="15">
        <v>1</v>
      </c>
      <c r="EQ72" s="15">
        <v>3</v>
      </c>
      <c r="ER72" s="15">
        <v>1</v>
      </c>
      <c r="ES72" s="15">
        <v>1</v>
      </c>
      <c r="ET72" s="15">
        <v>3</v>
      </c>
      <c r="EU72" s="15">
        <v>2</v>
      </c>
      <c r="EV72" s="15">
        <v>3</v>
      </c>
      <c r="EW72" s="15">
        <v>4</v>
      </c>
      <c r="EX72" s="15">
        <v>4</v>
      </c>
      <c r="EY72" s="15">
        <v>3</v>
      </c>
      <c r="EZ72" s="15">
        <v>2</v>
      </c>
      <c r="FA72" s="15">
        <v>3</v>
      </c>
      <c r="FB72" s="15">
        <v>2</v>
      </c>
      <c r="FC72" s="15">
        <v>2</v>
      </c>
      <c r="FD72" s="15">
        <v>3</v>
      </c>
      <c r="FE72" s="15">
        <v>4</v>
      </c>
      <c r="FF72" s="15">
        <v>2</v>
      </c>
      <c r="FG72" s="15">
        <v>3</v>
      </c>
      <c r="FH72" s="15">
        <v>3</v>
      </c>
      <c r="FI72" s="15">
        <v>3</v>
      </c>
      <c r="FJ72" s="15">
        <v>2</v>
      </c>
      <c r="FK72" s="15">
        <v>4</v>
      </c>
      <c r="FL72" s="15">
        <v>4</v>
      </c>
      <c r="FM72" s="15">
        <v>2</v>
      </c>
      <c r="FN72" s="15">
        <v>2</v>
      </c>
      <c r="FO72" s="15">
        <v>3</v>
      </c>
      <c r="FP72" s="15">
        <v>2</v>
      </c>
      <c r="FQ72" s="15">
        <v>4</v>
      </c>
      <c r="FR72" s="15">
        <v>3</v>
      </c>
      <c r="FS72" s="15">
        <v>4</v>
      </c>
      <c r="FT72" s="15">
        <v>4</v>
      </c>
      <c r="FU72" s="15">
        <v>1</v>
      </c>
      <c r="FV72" s="15">
        <v>4</v>
      </c>
      <c r="FW72" s="15">
        <v>1</v>
      </c>
      <c r="FX72" s="15">
        <v>2</v>
      </c>
      <c r="FY72" s="15">
        <v>3</v>
      </c>
      <c r="FZ72" s="15">
        <v>3</v>
      </c>
      <c r="GA72" s="15">
        <v>2</v>
      </c>
      <c r="GB72" s="15">
        <v>1</v>
      </c>
      <c r="GC72" s="15">
        <v>1</v>
      </c>
      <c r="GD72" s="15">
        <v>3</v>
      </c>
      <c r="GE72" s="15">
        <v>3</v>
      </c>
      <c r="GF72" s="15">
        <v>4</v>
      </c>
      <c r="GG72" s="15">
        <v>2</v>
      </c>
      <c r="GH72" s="15">
        <v>2</v>
      </c>
      <c r="GI72" s="15">
        <v>3</v>
      </c>
      <c r="GJ72" s="15">
        <v>2</v>
      </c>
      <c r="GK72" s="15">
        <v>1</v>
      </c>
      <c r="GL72" s="15">
        <v>3</v>
      </c>
      <c r="GM72" s="15">
        <v>2</v>
      </c>
      <c r="GN72" s="15">
        <v>3</v>
      </c>
      <c r="GO72" s="15">
        <v>3</v>
      </c>
      <c r="GP72" s="15">
        <v>1</v>
      </c>
      <c r="GQ72" s="15">
        <v>2</v>
      </c>
      <c r="GR72" s="15">
        <v>1</v>
      </c>
      <c r="GS72" s="15">
        <v>3</v>
      </c>
      <c r="GT72" s="15">
        <v>2</v>
      </c>
      <c r="GU72" s="15">
        <v>3</v>
      </c>
      <c r="GV72" s="15">
        <v>1</v>
      </c>
      <c r="GW72" s="15">
        <v>3</v>
      </c>
      <c r="GX72" s="15">
        <v>2</v>
      </c>
      <c r="GY72" s="15">
        <v>3</v>
      </c>
      <c r="GZ72" s="15">
        <v>1</v>
      </c>
      <c r="HA72" s="15">
        <v>2</v>
      </c>
      <c r="HB72" s="15">
        <v>1</v>
      </c>
      <c r="HC72" s="15">
        <v>3</v>
      </c>
      <c r="HD72" s="15">
        <v>4</v>
      </c>
      <c r="HE72" s="15">
        <v>2</v>
      </c>
      <c r="HF72" s="15">
        <v>2</v>
      </c>
      <c r="HG72" s="15">
        <v>1</v>
      </c>
      <c r="HH72" s="15">
        <v>1</v>
      </c>
      <c r="HI72" s="15">
        <v>3</v>
      </c>
      <c r="HJ72" s="15">
        <v>4</v>
      </c>
      <c r="HK72" s="15">
        <v>2</v>
      </c>
      <c r="HL72" s="15">
        <v>2</v>
      </c>
      <c r="HM72" s="15">
        <v>3</v>
      </c>
      <c r="HN72" s="15">
        <v>2</v>
      </c>
      <c r="HO72" s="15">
        <v>1</v>
      </c>
      <c r="HP72" s="15">
        <v>3</v>
      </c>
      <c r="HQ72" s="15">
        <v>2</v>
      </c>
      <c r="HR72" s="15">
        <v>4</v>
      </c>
      <c r="HS72" s="15">
        <v>3</v>
      </c>
      <c r="HT72" s="15">
        <v>5</v>
      </c>
      <c r="HU72" s="15">
        <v>1</v>
      </c>
      <c r="HV72" s="15">
        <v>2</v>
      </c>
      <c r="HW72" s="15">
        <v>3.25</v>
      </c>
      <c r="HX72" s="15">
        <v>4.5</v>
      </c>
      <c r="HY72" s="15">
        <v>4.5</v>
      </c>
      <c r="HZ72" s="15">
        <v>3.25</v>
      </c>
      <c r="IA72" s="15">
        <v>3.25</v>
      </c>
      <c r="IB72" s="15">
        <v>4.5</v>
      </c>
      <c r="IC72" s="15">
        <v>2.75</v>
      </c>
      <c r="ID72" s="15">
        <v>4</v>
      </c>
      <c r="IE72" s="15">
        <v>3</v>
      </c>
      <c r="IF72" s="15">
        <v>3.5</v>
      </c>
      <c r="IG72" s="15">
        <v>3</v>
      </c>
      <c r="IH72" s="15">
        <v>2.5</v>
      </c>
      <c r="II72" s="15">
        <v>3.25</v>
      </c>
      <c r="IJ72" s="15">
        <v>2</v>
      </c>
      <c r="IK72" s="15">
        <v>2.5</v>
      </c>
      <c r="IL72" s="15">
        <v>3</v>
      </c>
      <c r="IM72" s="15">
        <v>3</v>
      </c>
      <c r="IN72" s="15">
        <v>2.75</v>
      </c>
      <c r="IO72" s="15">
        <v>2.75</v>
      </c>
      <c r="IP72" s="15">
        <v>4.25</v>
      </c>
      <c r="IQ72" s="15">
        <v>3.75</v>
      </c>
      <c r="IR72" s="15">
        <v>2</v>
      </c>
      <c r="IS72" s="15">
        <v>4.5</v>
      </c>
      <c r="IT72" s="15">
        <v>2.75</v>
      </c>
      <c r="IU72" s="15">
        <v>4.25</v>
      </c>
      <c r="IV72" s="15">
        <v>4.75</v>
      </c>
      <c r="IW72" s="15">
        <v>4.5</v>
      </c>
      <c r="IX72" s="15">
        <v>4</v>
      </c>
      <c r="IY72" s="15">
        <v>3.25</v>
      </c>
      <c r="IZ72" s="15">
        <v>4.25</v>
      </c>
    </row>
    <row r="73" spans="1:260" s="12" customFormat="1" x14ac:dyDescent="0.3">
      <c r="A73" s="15">
        <v>76</v>
      </c>
      <c r="B73" s="15" t="s">
        <v>469</v>
      </c>
      <c r="C73" s="16">
        <v>22</v>
      </c>
      <c r="D73" s="15" t="s">
        <v>288</v>
      </c>
      <c r="E73" s="15" t="s">
        <v>259</v>
      </c>
      <c r="F73" s="15" t="s">
        <v>260</v>
      </c>
      <c r="G73" s="15" t="s">
        <v>268</v>
      </c>
      <c r="H73" s="15" t="s">
        <v>269</v>
      </c>
      <c r="I73" s="15" t="s">
        <v>280</v>
      </c>
      <c r="J73" s="15" t="s">
        <v>280</v>
      </c>
      <c r="K73" s="15" t="s">
        <v>285</v>
      </c>
      <c r="L73" s="15" t="s">
        <v>278</v>
      </c>
      <c r="M73" s="15" t="s">
        <v>293</v>
      </c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>
        <v>0</v>
      </c>
      <c r="AE73" s="15">
        <f>2/2</f>
        <v>1</v>
      </c>
      <c r="AF73" s="15">
        <f>3934.205/1000</f>
        <v>3.934205</v>
      </c>
      <c r="AG73" s="15">
        <v>0</v>
      </c>
      <c r="AH73" s="15">
        <v>0</v>
      </c>
      <c r="AI73" s="15"/>
      <c r="AJ73" s="15"/>
      <c r="AK73" s="15"/>
      <c r="AL73" s="15"/>
      <c r="AM73" s="15"/>
      <c r="AN73" s="15"/>
      <c r="AO73" s="15">
        <v>0</v>
      </c>
      <c r="AP73" s="15">
        <f>2/3</f>
        <v>0.66666666666666663</v>
      </c>
      <c r="AQ73" s="15">
        <f>5288.938/1000</f>
        <v>5.2889379999999999</v>
      </c>
      <c r="AR73" s="15">
        <f>0.1925</f>
        <v>0.1925</v>
      </c>
      <c r="AS73" s="15">
        <v>0</v>
      </c>
      <c r="AT73" s="15"/>
      <c r="AU73" s="15"/>
      <c r="AV73" s="15"/>
      <c r="AW73" s="15"/>
      <c r="AX73" s="15"/>
      <c r="AY73" s="15"/>
      <c r="AZ73" s="15">
        <v>0</v>
      </c>
      <c r="BA73" s="15">
        <f t="shared" si="24"/>
        <v>1</v>
      </c>
      <c r="BB73" s="15">
        <f>5252.145/1000</f>
        <v>5.2521450000000005</v>
      </c>
      <c r="BC73" s="15">
        <v>0</v>
      </c>
      <c r="BD73" s="15">
        <v>0</v>
      </c>
      <c r="BE73" s="15"/>
      <c r="BF73" s="15"/>
      <c r="BG73" s="15"/>
      <c r="BH73" s="15"/>
      <c r="BI73" s="15"/>
      <c r="BJ73" s="15"/>
      <c r="BK73" s="15">
        <v>0</v>
      </c>
      <c r="BL73" s="15">
        <f t="shared" si="25"/>
        <v>1</v>
      </c>
      <c r="BM73" s="15">
        <f>9435.183/1000</f>
        <v>9.4351830000000003</v>
      </c>
      <c r="BN73" s="15">
        <f>0</f>
        <v>0</v>
      </c>
      <c r="BO73" s="15"/>
      <c r="BP73" s="15"/>
      <c r="BQ73" s="15"/>
      <c r="BR73" s="15"/>
      <c r="BS73" s="15">
        <v>0</v>
      </c>
      <c r="BT73" s="15">
        <f t="shared" si="23"/>
        <v>1</v>
      </c>
      <c r="BU73" s="15">
        <f>8434.718/1000</f>
        <v>8.4347180000000002</v>
      </c>
      <c r="BV73" s="15">
        <v>0</v>
      </c>
      <c r="BW73" s="15">
        <v>0</v>
      </c>
      <c r="BX73" s="15"/>
      <c r="BY73" s="15"/>
      <c r="BZ73" s="15"/>
      <c r="CA73" s="15"/>
      <c r="CB73" s="15"/>
      <c r="CC73" s="15"/>
      <c r="CD73" s="15">
        <v>0</v>
      </c>
      <c r="CE73" s="15">
        <f>1/2</f>
        <v>0.5</v>
      </c>
      <c r="CF73" s="15">
        <f>11385.66/1000</f>
        <v>11.38566</v>
      </c>
      <c r="CG73" s="15">
        <f>0.0175</f>
        <v>1.7500000000000002E-2</v>
      </c>
      <c r="CH73" s="15">
        <v>1</v>
      </c>
      <c r="CI73" s="15">
        <v>0</v>
      </c>
      <c r="CJ73" s="15">
        <f>6/6</f>
        <v>1</v>
      </c>
      <c r="CK73" s="15">
        <f t="shared" si="22"/>
        <v>43.730849000000006</v>
      </c>
      <c r="CL73" s="15">
        <v>0</v>
      </c>
      <c r="CM73" s="15">
        <v>0</v>
      </c>
      <c r="CN73" s="15">
        <v>1</v>
      </c>
      <c r="CO73" s="15">
        <f>Table1[[#This Row],[TotalTrapsRisked]]/5</f>
        <v>0.2</v>
      </c>
      <c r="CP73" s="15">
        <v>0</v>
      </c>
      <c r="CQ73" s="15">
        <v>0</v>
      </c>
      <c r="CR73" s="15">
        <v>0.72916666666666663</v>
      </c>
      <c r="CS73" s="15">
        <v>0.52727272727272723</v>
      </c>
      <c r="CT73" s="15">
        <v>1</v>
      </c>
      <c r="CU73" s="15">
        <v>352</v>
      </c>
      <c r="CV73" s="15">
        <v>680</v>
      </c>
      <c r="CW73" s="15">
        <v>1</v>
      </c>
      <c r="CX73" s="15"/>
      <c r="CY73" s="15"/>
      <c r="CZ73" s="15"/>
      <c r="DA73" s="15"/>
      <c r="DB73" s="15"/>
      <c r="DC73" s="15"/>
      <c r="DD73" s="15">
        <v>0</v>
      </c>
      <c r="DE73" s="15">
        <v>0</v>
      </c>
      <c r="DF73" s="15">
        <v>4</v>
      </c>
      <c r="DG73" s="15">
        <v>4</v>
      </c>
      <c r="DH73" s="15">
        <v>4</v>
      </c>
      <c r="DI73" s="15">
        <v>4</v>
      </c>
      <c r="DJ73" s="15">
        <v>5</v>
      </c>
      <c r="DK73" s="15">
        <v>3</v>
      </c>
      <c r="DL73" s="15">
        <v>4</v>
      </c>
      <c r="DM73" s="15">
        <v>4</v>
      </c>
      <c r="DN73" s="15">
        <v>1</v>
      </c>
      <c r="DO73" s="15">
        <v>3</v>
      </c>
      <c r="DP73" s="15">
        <v>2</v>
      </c>
      <c r="DQ73" s="15">
        <v>4</v>
      </c>
      <c r="DR73" s="15">
        <v>3</v>
      </c>
      <c r="DS73" s="15">
        <v>4</v>
      </c>
      <c r="DT73" s="15">
        <v>4</v>
      </c>
      <c r="DU73" s="15">
        <v>2</v>
      </c>
      <c r="DV73" s="15">
        <v>2</v>
      </c>
      <c r="DW73" s="15">
        <v>3</v>
      </c>
      <c r="DX73" s="15">
        <v>1</v>
      </c>
      <c r="DY73" s="15">
        <v>4</v>
      </c>
      <c r="DZ73" s="15">
        <v>2</v>
      </c>
      <c r="EA73" s="15">
        <v>4</v>
      </c>
      <c r="EB73" s="15">
        <v>4</v>
      </c>
      <c r="EC73" s="15">
        <v>1</v>
      </c>
      <c r="ED73" s="15">
        <v>1</v>
      </c>
      <c r="EE73" s="15">
        <v>1</v>
      </c>
      <c r="EF73" s="15">
        <v>4</v>
      </c>
      <c r="EG73" s="15">
        <v>3</v>
      </c>
      <c r="EH73" s="15">
        <v>3</v>
      </c>
      <c r="EI73" s="15">
        <v>1</v>
      </c>
      <c r="EJ73" s="15">
        <v>3</v>
      </c>
      <c r="EK73" s="15">
        <v>4</v>
      </c>
      <c r="EL73" s="15">
        <v>3</v>
      </c>
      <c r="EM73" s="15">
        <v>4</v>
      </c>
      <c r="EN73" s="15">
        <v>3</v>
      </c>
      <c r="EO73" s="15">
        <v>2</v>
      </c>
      <c r="EP73" s="15">
        <v>4</v>
      </c>
      <c r="EQ73" s="15">
        <v>3</v>
      </c>
      <c r="ER73" s="15">
        <v>1</v>
      </c>
      <c r="ES73" s="15">
        <v>3</v>
      </c>
      <c r="ET73" s="15">
        <v>1</v>
      </c>
      <c r="EU73" s="15">
        <v>2</v>
      </c>
      <c r="EV73" s="15">
        <v>4</v>
      </c>
      <c r="EW73" s="15">
        <v>4</v>
      </c>
      <c r="EX73" s="15">
        <v>4</v>
      </c>
      <c r="EY73" s="15">
        <v>2</v>
      </c>
      <c r="EZ73" s="15">
        <v>3</v>
      </c>
      <c r="FA73" s="15">
        <v>1</v>
      </c>
      <c r="FB73" s="15">
        <v>1</v>
      </c>
      <c r="FC73" s="15">
        <v>4</v>
      </c>
      <c r="FD73" s="15">
        <v>4</v>
      </c>
      <c r="FE73" s="15">
        <v>3</v>
      </c>
      <c r="FF73" s="15">
        <v>3</v>
      </c>
      <c r="FG73" s="15">
        <v>4</v>
      </c>
      <c r="FH73" s="15">
        <v>4</v>
      </c>
      <c r="FI73" s="15">
        <v>1</v>
      </c>
      <c r="FJ73" s="15">
        <v>4</v>
      </c>
      <c r="FK73" s="15">
        <v>4</v>
      </c>
      <c r="FL73" s="15">
        <v>4</v>
      </c>
      <c r="FM73" s="15">
        <v>2</v>
      </c>
      <c r="FN73" s="15">
        <v>2</v>
      </c>
      <c r="FO73" s="15">
        <v>2</v>
      </c>
      <c r="FP73" s="15">
        <v>3</v>
      </c>
      <c r="FQ73" s="15">
        <v>4</v>
      </c>
      <c r="FR73" s="15">
        <v>4</v>
      </c>
      <c r="FS73" s="15">
        <v>2</v>
      </c>
      <c r="FT73" s="15">
        <v>2</v>
      </c>
      <c r="FU73" s="15">
        <v>2</v>
      </c>
      <c r="FV73" s="15">
        <v>4</v>
      </c>
      <c r="FW73" s="15">
        <v>1</v>
      </c>
      <c r="FX73" s="15">
        <v>4</v>
      </c>
      <c r="FY73" s="15">
        <v>1</v>
      </c>
      <c r="FZ73" s="15">
        <v>3</v>
      </c>
      <c r="GA73" s="15">
        <v>2</v>
      </c>
      <c r="GB73" s="15">
        <v>2</v>
      </c>
      <c r="GC73" s="15">
        <v>1</v>
      </c>
      <c r="GD73" s="15">
        <v>1</v>
      </c>
      <c r="GE73" s="15">
        <v>4</v>
      </c>
      <c r="GF73" s="15">
        <v>1</v>
      </c>
      <c r="GG73" s="15">
        <v>1</v>
      </c>
      <c r="GH73" s="15">
        <v>1</v>
      </c>
      <c r="GI73" s="15">
        <v>2</v>
      </c>
      <c r="GJ73" s="15">
        <v>1</v>
      </c>
      <c r="GK73" s="15">
        <v>3</v>
      </c>
      <c r="GL73" s="15">
        <v>4</v>
      </c>
      <c r="GM73" s="15">
        <v>2</v>
      </c>
      <c r="GN73" s="15">
        <v>1</v>
      </c>
      <c r="GO73" s="15">
        <v>5</v>
      </c>
      <c r="GP73" s="15">
        <v>3</v>
      </c>
      <c r="GQ73" s="15">
        <v>2</v>
      </c>
      <c r="GR73" s="15">
        <v>2</v>
      </c>
      <c r="GS73" s="15">
        <v>1</v>
      </c>
      <c r="GT73" s="15">
        <v>1</v>
      </c>
      <c r="GU73" s="15">
        <v>1</v>
      </c>
      <c r="GV73" s="15">
        <v>1</v>
      </c>
      <c r="GW73" s="15">
        <v>4</v>
      </c>
      <c r="GX73" s="15">
        <v>3</v>
      </c>
      <c r="GY73" s="15">
        <v>2</v>
      </c>
      <c r="GZ73" s="15">
        <v>1</v>
      </c>
      <c r="HA73" s="15">
        <v>1</v>
      </c>
      <c r="HB73" s="15">
        <v>1</v>
      </c>
      <c r="HC73" s="15">
        <v>5</v>
      </c>
      <c r="HD73" s="15">
        <v>2</v>
      </c>
      <c r="HE73" s="15">
        <v>2</v>
      </c>
      <c r="HF73" s="15">
        <v>2</v>
      </c>
      <c r="HG73" s="15">
        <v>2</v>
      </c>
      <c r="HH73" s="15">
        <v>2</v>
      </c>
      <c r="HI73" s="15">
        <v>4</v>
      </c>
      <c r="HJ73" s="15">
        <v>3</v>
      </c>
      <c r="HK73" s="15">
        <v>1</v>
      </c>
      <c r="HL73" s="15">
        <v>2</v>
      </c>
      <c r="HM73" s="15">
        <v>4</v>
      </c>
      <c r="HN73" s="15">
        <v>2</v>
      </c>
      <c r="HO73" s="15">
        <v>3</v>
      </c>
      <c r="HP73" s="15">
        <v>1</v>
      </c>
      <c r="HQ73" s="15">
        <v>2</v>
      </c>
      <c r="HR73" s="15">
        <v>3</v>
      </c>
      <c r="HS73" s="15">
        <v>4</v>
      </c>
      <c r="HT73" s="15">
        <v>3</v>
      </c>
      <c r="HU73" s="15">
        <v>3</v>
      </c>
      <c r="HV73" s="15">
        <v>1</v>
      </c>
      <c r="HW73" s="15">
        <v>4</v>
      </c>
      <c r="HX73" s="15">
        <v>3.25</v>
      </c>
      <c r="HY73" s="15">
        <v>4.25</v>
      </c>
      <c r="HZ73" s="15">
        <v>4.25</v>
      </c>
      <c r="IA73" s="15">
        <v>3.25</v>
      </c>
      <c r="IB73" s="15">
        <v>4.5</v>
      </c>
      <c r="IC73" s="15">
        <v>2.5</v>
      </c>
      <c r="ID73" s="15">
        <v>2.5</v>
      </c>
      <c r="IE73" s="15">
        <v>1.25</v>
      </c>
      <c r="IF73" s="15">
        <v>2.25</v>
      </c>
      <c r="IG73" s="15">
        <v>2.5</v>
      </c>
      <c r="IH73" s="15">
        <v>1.5</v>
      </c>
      <c r="II73" s="15">
        <v>4.25</v>
      </c>
      <c r="IJ73" s="15">
        <v>4</v>
      </c>
      <c r="IK73" s="15">
        <v>3.25</v>
      </c>
      <c r="IL73" s="15">
        <v>2.75</v>
      </c>
      <c r="IM73" s="15">
        <v>2.5</v>
      </c>
      <c r="IN73" s="15">
        <v>4.25</v>
      </c>
      <c r="IO73" s="15">
        <v>2.75</v>
      </c>
      <c r="IP73" s="15">
        <v>4</v>
      </c>
      <c r="IQ73" s="15">
        <v>3.75</v>
      </c>
      <c r="IR73" s="15">
        <v>4</v>
      </c>
      <c r="IS73" s="15">
        <v>3.25</v>
      </c>
      <c r="IT73" s="15">
        <v>3.25</v>
      </c>
      <c r="IU73" s="15">
        <v>4.25</v>
      </c>
      <c r="IV73" s="15">
        <v>5</v>
      </c>
      <c r="IW73" s="15">
        <v>4</v>
      </c>
      <c r="IX73" s="15">
        <v>5</v>
      </c>
      <c r="IY73" s="15">
        <v>3.5</v>
      </c>
      <c r="IZ73" s="15">
        <v>3.5</v>
      </c>
    </row>
    <row r="74" spans="1:260" s="12" customFormat="1" x14ac:dyDescent="0.3">
      <c r="A74" s="15">
        <v>77</v>
      </c>
      <c r="B74" s="15" t="s">
        <v>469</v>
      </c>
      <c r="C74" s="16">
        <v>26</v>
      </c>
      <c r="D74" s="15" t="s">
        <v>258</v>
      </c>
      <c r="E74" s="15" t="s">
        <v>259</v>
      </c>
      <c r="F74" s="15" t="s">
        <v>260</v>
      </c>
      <c r="G74" s="15" t="s">
        <v>283</v>
      </c>
      <c r="H74" s="15" t="s">
        <v>269</v>
      </c>
      <c r="I74" s="15" t="s">
        <v>275</v>
      </c>
      <c r="J74" s="15" t="s">
        <v>414</v>
      </c>
      <c r="K74" s="15" t="s">
        <v>307</v>
      </c>
      <c r="L74" s="15" t="s">
        <v>388</v>
      </c>
      <c r="M74" s="15" t="s">
        <v>415</v>
      </c>
      <c r="N74" s="15"/>
      <c r="O74" s="15"/>
      <c r="P74" s="15"/>
      <c r="Q74" s="15"/>
      <c r="R74" s="15">
        <f>1/1</f>
        <v>1</v>
      </c>
      <c r="S74" s="15">
        <v>0</v>
      </c>
      <c r="T74" s="15">
        <f>3076.536/1000</f>
        <v>3.0765359999999999</v>
      </c>
      <c r="U74" s="15">
        <v>0</v>
      </c>
      <c r="V74" s="15">
        <v>0</v>
      </c>
      <c r="W74" s="15">
        <f>8/8</f>
        <v>1</v>
      </c>
      <c r="X74" s="15">
        <f>19377.93/1000</f>
        <v>19.377929999999999</v>
      </c>
      <c r="Y74" s="15">
        <f>0.935</f>
        <v>0.93500000000000005</v>
      </c>
      <c r="Z74" s="15">
        <v>2</v>
      </c>
      <c r="AA74" s="15">
        <f>AVERAGE(0,3)/5</f>
        <v>0.3</v>
      </c>
      <c r="AB74" s="15"/>
      <c r="AC74" s="15">
        <f>1.05*2</f>
        <v>2.1</v>
      </c>
      <c r="AD74" s="15">
        <v>0</v>
      </c>
      <c r="AE74" s="15">
        <f>2/2</f>
        <v>1</v>
      </c>
      <c r="AF74" s="15">
        <f>15420.28/1000</f>
        <v>15.42028</v>
      </c>
      <c r="AG74" s="15">
        <v>0</v>
      </c>
      <c r="AH74" s="15">
        <v>0</v>
      </c>
      <c r="AI74" s="15"/>
      <c r="AJ74" s="15"/>
      <c r="AK74" s="15"/>
      <c r="AL74" s="15"/>
      <c r="AM74" s="15"/>
      <c r="AN74" s="15"/>
      <c r="AO74" s="15">
        <v>0</v>
      </c>
      <c r="AP74" s="15">
        <f>3/3</f>
        <v>1</v>
      </c>
      <c r="AQ74" s="15">
        <f>15400.71/1000</f>
        <v>15.400709999999998</v>
      </c>
      <c r="AR74" s="15">
        <f>0.58</f>
        <v>0.57999999999999996</v>
      </c>
      <c r="AS74" s="15">
        <v>0</v>
      </c>
      <c r="AT74" s="15"/>
      <c r="AU74" s="15"/>
      <c r="AV74" s="15"/>
      <c r="AW74" s="15"/>
      <c r="AX74" s="15"/>
      <c r="AY74" s="15"/>
      <c r="AZ74" s="15">
        <v>0</v>
      </c>
      <c r="BA74" s="15">
        <f t="shared" si="24"/>
        <v>1</v>
      </c>
      <c r="BB74" s="15">
        <f>5259.543/1000</f>
        <v>5.2595429999999999</v>
      </c>
      <c r="BC74" s="15">
        <v>0</v>
      </c>
      <c r="BD74" s="15">
        <v>0</v>
      </c>
      <c r="BE74" s="15"/>
      <c r="BF74" s="15"/>
      <c r="BG74" s="15"/>
      <c r="BH74" s="15"/>
      <c r="BI74" s="15"/>
      <c r="BJ74" s="15"/>
      <c r="BK74" s="15">
        <v>0</v>
      </c>
      <c r="BL74" s="15">
        <f t="shared" si="25"/>
        <v>1</v>
      </c>
      <c r="BM74" s="15">
        <f>9403.134/1000</f>
        <v>9.4031339999999997</v>
      </c>
      <c r="BN74" s="15">
        <v>0</v>
      </c>
      <c r="BO74" s="15"/>
      <c r="BP74" s="15"/>
      <c r="BQ74" s="15"/>
      <c r="BR74" s="15"/>
      <c r="BS74" s="15">
        <v>0</v>
      </c>
      <c r="BT74" s="15">
        <f t="shared" si="23"/>
        <v>1</v>
      </c>
      <c r="BU74" s="15">
        <f>7820.669/1000</f>
        <v>7.8206689999999996</v>
      </c>
      <c r="BV74" s="15">
        <f>0</f>
        <v>0</v>
      </c>
      <c r="BW74" s="15">
        <v>0</v>
      </c>
      <c r="BX74" s="15"/>
      <c r="BY74" s="15"/>
      <c r="BZ74" s="15"/>
      <c r="CA74" s="15"/>
      <c r="CB74" s="15"/>
      <c r="CC74" s="15"/>
      <c r="CD74" s="15">
        <v>0</v>
      </c>
      <c r="CE74" s="15">
        <f>2/2</f>
        <v>1</v>
      </c>
      <c r="CF74" s="15">
        <f>18243.64/1000</f>
        <v>18.243639999999999</v>
      </c>
      <c r="CG74" s="15">
        <f>0.115</f>
        <v>0.115</v>
      </c>
      <c r="CH74" s="15">
        <v>0</v>
      </c>
      <c r="CI74" s="15"/>
      <c r="CJ74" s="15"/>
      <c r="CK74" s="15">
        <f t="shared" si="22"/>
        <v>94.002441999999988</v>
      </c>
      <c r="CL74" s="15">
        <f>2/8</f>
        <v>0.25</v>
      </c>
      <c r="CM74" s="15">
        <v>0</v>
      </c>
      <c r="CN74" s="15">
        <v>0</v>
      </c>
      <c r="CO74" s="15">
        <f>Table1[[#This Row],[TotalTrapsRisked]]/5</f>
        <v>0</v>
      </c>
      <c r="CP74" s="15">
        <v>0</v>
      </c>
      <c r="CQ74" s="15">
        <v>1</v>
      </c>
      <c r="CR74" s="15">
        <v>0.79166666666666663</v>
      </c>
      <c r="CS74" s="15">
        <v>0.90909090909090906</v>
      </c>
      <c r="CT74" s="15">
        <v>2</v>
      </c>
      <c r="CU74" s="15">
        <v>336</v>
      </c>
      <c r="CV74" s="15">
        <v>1200</v>
      </c>
      <c r="CW74" s="15">
        <v>2</v>
      </c>
      <c r="CX74" s="15"/>
      <c r="CY74" s="15"/>
      <c r="CZ74" s="15"/>
      <c r="DA74" s="15"/>
      <c r="DB74" s="15"/>
      <c r="DC74" s="15"/>
      <c r="DD74" s="15">
        <v>0</v>
      </c>
      <c r="DE74" s="15">
        <v>0</v>
      </c>
      <c r="DF74" s="15">
        <v>4</v>
      </c>
      <c r="DG74" s="15">
        <v>3</v>
      </c>
      <c r="DH74" s="15">
        <v>5</v>
      </c>
      <c r="DI74" s="15">
        <v>3</v>
      </c>
      <c r="DJ74" s="15">
        <v>4</v>
      </c>
      <c r="DK74" s="15">
        <v>3</v>
      </c>
      <c r="DL74" s="15">
        <v>5</v>
      </c>
      <c r="DM74" s="15">
        <v>3</v>
      </c>
      <c r="DN74" s="15">
        <v>2</v>
      </c>
      <c r="DO74" s="15">
        <v>3</v>
      </c>
      <c r="DP74" s="15">
        <v>2</v>
      </c>
      <c r="DQ74" s="15">
        <v>3</v>
      </c>
      <c r="DR74" s="15">
        <v>2</v>
      </c>
      <c r="DS74" s="15">
        <v>3</v>
      </c>
      <c r="DT74" s="15">
        <v>4</v>
      </c>
      <c r="DU74" s="15">
        <v>4</v>
      </c>
      <c r="DV74" s="15">
        <v>3</v>
      </c>
      <c r="DW74" s="15">
        <v>3</v>
      </c>
      <c r="DX74" s="15">
        <v>1</v>
      </c>
      <c r="DY74" s="15">
        <v>3</v>
      </c>
      <c r="DZ74" s="15">
        <v>4</v>
      </c>
      <c r="EA74" s="15">
        <v>2</v>
      </c>
      <c r="EB74" s="15">
        <v>4</v>
      </c>
      <c r="EC74" s="15">
        <v>2</v>
      </c>
      <c r="ED74" s="15">
        <v>3</v>
      </c>
      <c r="EE74" s="15">
        <v>2</v>
      </c>
      <c r="EF74" s="15">
        <v>3</v>
      </c>
      <c r="EG74" s="15">
        <v>3</v>
      </c>
      <c r="EH74" s="15">
        <v>3</v>
      </c>
      <c r="EI74" s="15">
        <v>1</v>
      </c>
      <c r="EJ74" s="15">
        <v>5</v>
      </c>
      <c r="EK74" s="15">
        <v>3</v>
      </c>
      <c r="EL74" s="15">
        <v>3</v>
      </c>
      <c r="EM74" s="15">
        <v>3</v>
      </c>
      <c r="EN74" s="15">
        <v>2</v>
      </c>
      <c r="EO74" s="15">
        <v>3</v>
      </c>
      <c r="EP74" s="15">
        <v>1</v>
      </c>
      <c r="EQ74" s="15">
        <v>2</v>
      </c>
      <c r="ER74" s="15">
        <v>2</v>
      </c>
      <c r="ES74" s="15">
        <v>2</v>
      </c>
      <c r="ET74" s="15">
        <v>2</v>
      </c>
      <c r="EU74" s="15">
        <v>2</v>
      </c>
      <c r="EV74" s="15">
        <v>3</v>
      </c>
      <c r="EW74" s="15">
        <v>4</v>
      </c>
      <c r="EX74" s="15">
        <v>4</v>
      </c>
      <c r="EY74" s="15">
        <v>4</v>
      </c>
      <c r="EZ74" s="15">
        <v>3</v>
      </c>
      <c r="FA74" s="15">
        <v>5</v>
      </c>
      <c r="FB74" s="15">
        <v>2</v>
      </c>
      <c r="FC74" s="15">
        <v>3</v>
      </c>
      <c r="FD74" s="15">
        <v>2</v>
      </c>
      <c r="FE74" s="15">
        <v>3</v>
      </c>
      <c r="FF74" s="15">
        <v>4</v>
      </c>
      <c r="FG74" s="15">
        <v>4</v>
      </c>
      <c r="FH74" s="15">
        <v>4</v>
      </c>
      <c r="FI74" s="15">
        <v>3</v>
      </c>
      <c r="FJ74" s="15">
        <v>5</v>
      </c>
      <c r="FK74" s="15">
        <v>3</v>
      </c>
      <c r="FL74" s="15">
        <v>3</v>
      </c>
      <c r="FM74" s="15">
        <v>1</v>
      </c>
      <c r="FN74" s="15">
        <v>3</v>
      </c>
      <c r="FO74" s="15">
        <v>4</v>
      </c>
      <c r="FP74" s="15">
        <v>3</v>
      </c>
      <c r="FQ74" s="15">
        <v>3</v>
      </c>
      <c r="FR74" s="15">
        <v>3</v>
      </c>
      <c r="FS74" s="15">
        <v>2</v>
      </c>
      <c r="FT74" s="15">
        <v>2</v>
      </c>
      <c r="FU74" s="15">
        <v>2</v>
      </c>
      <c r="FV74" s="15">
        <v>4</v>
      </c>
      <c r="FW74" s="15">
        <v>3</v>
      </c>
      <c r="FX74" s="15">
        <v>4</v>
      </c>
      <c r="FY74" s="15">
        <v>2</v>
      </c>
      <c r="FZ74" s="15">
        <v>3</v>
      </c>
      <c r="GA74" s="15">
        <v>3</v>
      </c>
      <c r="GB74" s="15">
        <v>3</v>
      </c>
      <c r="GC74" s="15">
        <v>2</v>
      </c>
      <c r="GD74" s="15">
        <v>3</v>
      </c>
      <c r="GE74" s="15">
        <v>4</v>
      </c>
      <c r="GF74" s="15">
        <v>4</v>
      </c>
      <c r="GG74" s="15">
        <v>2</v>
      </c>
      <c r="GH74" s="15">
        <v>3</v>
      </c>
      <c r="GI74" s="15">
        <v>3</v>
      </c>
      <c r="GJ74" s="15">
        <v>2</v>
      </c>
      <c r="GK74" s="15">
        <v>3</v>
      </c>
      <c r="GL74" s="15">
        <v>2</v>
      </c>
      <c r="GM74" s="15">
        <v>3</v>
      </c>
      <c r="GN74" s="15">
        <v>4</v>
      </c>
      <c r="GO74" s="15">
        <v>5</v>
      </c>
      <c r="GP74" s="15">
        <v>3</v>
      </c>
      <c r="GQ74" s="15">
        <v>3</v>
      </c>
      <c r="GR74" s="15">
        <v>4</v>
      </c>
      <c r="GS74" s="15">
        <v>3</v>
      </c>
      <c r="GT74" s="15">
        <v>2</v>
      </c>
      <c r="GU74" s="15">
        <v>3</v>
      </c>
      <c r="GV74" s="15">
        <v>3</v>
      </c>
      <c r="GW74" s="15">
        <v>3</v>
      </c>
      <c r="GX74" s="15">
        <v>4</v>
      </c>
      <c r="GY74" s="15">
        <v>5</v>
      </c>
      <c r="GZ74" s="15">
        <v>2</v>
      </c>
      <c r="HA74" s="15">
        <v>2</v>
      </c>
      <c r="HB74" s="15">
        <v>1</v>
      </c>
      <c r="HC74" s="15">
        <v>5</v>
      </c>
      <c r="HD74" s="15">
        <v>4</v>
      </c>
      <c r="HE74" s="15">
        <v>3</v>
      </c>
      <c r="HF74" s="15">
        <v>2</v>
      </c>
      <c r="HG74" s="15">
        <v>1</v>
      </c>
      <c r="HH74" s="15">
        <v>3</v>
      </c>
      <c r="HI74" s="15">
        <v>4</v>
      </c>
      <c r="HJ74" s="15">
        <v>4</v>
      </c>
      <c r="HK74" s="15">
        <v>2</v>
      </c>
      <c r="HL74" s="15">
        <v>4</v>
      </c>
      <c r="HM74" s="15">
        <v>3</v>
      </c>
      <c r="HN74" s="15">
        <v>2</v>
      </c>
      <c r="HO74" s="15">
        <v>3</v>
      </c>
      <c r="HP74" s="15">
        <v>1</v>
      </c>
      <c r="HQ74" s="15">
        <v>4</v>
      </c>
      <c r="HR74" s="15">
        <v>3</v>
      </c>
      <c r="HS74" s="15">
        <v>4</v>
      </c>
      <c r="HT74" s="15">
        <v>4</v>
      </c>
      <c r="HU74" s="15">
        <v>3</v>
      </c>
      <c r="HV74" s="15">
        <v>1</v>
      </c>
      <c r="HW74" s="15">
        <v>3</v>
      </c>
      <c r="HX74" s="15">
        <v>3.5</v>
      </c>
      <c r="HY74" s="15">
        <v>4.25</v>
      </c>
      <c r="HZ74" s="15">
        <v>2.75</v>
      </c>
      <c r="IA74" s="15">
        <v>3</v>
      </c>
      <c r="IB74" s="15">
        <v>4.25</v>
      </c>
      <c r="IC74" s="15">
        <v>3.75</v>
      </c>
      <c r="ID74" s="15">
        <v>2.5</v>
      </c>
      <c r="IE74" s="15">
        <v>1.75</v>
      </c>
      <c r="IF74" s="15">
        <v>3.5</v>
      </c>
      <c r="IG74" s="15">
        <v>3.5</v>
      </c>
      <c r="IH74" s="15">
        <v>3</v>
      </c>
      <c r="II74" s="15">
        <v>3</v>
      </c>
      <c r="IJ74" s="15">
        <v>2.75</v>
      </c>
      <c r="IK74" s="15">
        <v>2.5</v>
      </c>
      <c r="IL74" s="15">
        <v>3</v>
      </c>
      <c r="IM74" s="15">
        <v>2.25</v>
      </c>
      <c r="IN74" s="15">
        <v>4.25</v>
      </c>
      <c r="IO74" s="15">
        <v>3.5</v>
      </c>
      <c r="IP74" s="15">
        <v>3.25</v>
      </c>
      <c r="IQ74" s="15">
        <v>2.75</v>
      </c>
      <c r="IR74" s="15">
        <v>2</v>
      </c>
      <c r="IS74" s="15">
        <v>3</v>
      </c>
      <c r="IT74" s="15">
        <v>2.75</v>
      </c>
      <c r="IU74" s="15">
        <v>3</v>
      </c>
      <c r="IV74" s="15">
        <v>3.75</v>
      </c>
      <c r="IW74" s="15">
        <v>3.5</v>
      </c>
      <c r="IX74" s="15">
        <v>4.25</v>
      </c>
      <c r="IY74" s="15">
        <v>3.75</v>
      </c>
      <c r="IZ74" s="15">
        <v>3</v>
      </c>
    </row>
    <row r="75" spans="1:260" s="12" customFormat="1" x14ac:dyDescent="0.3">
      <c r="A75" s="15">
        <v>78</v>
      </c>
      <c r="B75" s="15" t="s">
        <v>469</v>
      </c>
      <c r="C75" s="16">
        <v>21</v>
      </c>
      <c r="D75" s="15" t="s">
        <v>288</v>
      </c>
      <c r="E75" s="15" t="s">
        <v>259</v>
      </c>
      <c r="F75" s="15" t="s">
        <v>260</v>
      </c>
      <c r="G75" s="15" t="s">
        <v>268</v>
      </c>
      <c r="H75" s="15" t="s">
        <v>269</v>
      </c>
      <c r="I75" s="15" t="s">
        <v>280</v>
      </c>
      <c r="J75" s="15" t="s">
        <v>313</v>
      </c>
      <c r="K75" s="15" t="s">
        <v>277</v>
      </c>
      <c r="L75" s="15" t="s">
        <v>281</v>
      </c>
      <c r="M75" s="15" t="s">
        <v>416</v>
      </c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>
        <v>1</v>
      </c>
      <c r="AA75" s="15">
        <v>0</v>
      </c>
      <c r="AB75" s="15"/>
      <c r="AC75" s="15">
        <f>1.05</f>
        <v>1.05</v>
      </c>
      <c r="AD75" s="15">
        <v>0</v>
      </c>
      <c r="AE75" s="15">
        <f>0</f>
        <v>0</v>
      </c>
      <c r="AF75" s="15">
        <f>3952.302/1000</f>
        <v>3.952302</v>
      </c>
      <c r="AG75" s="15">
        <v>0</v>
      </c>
      <c r="AH75" s="15">
        <v>0</v>
      </c>
      <c r="AI75" s="15"/>
      <c r="AJ75" s="15"/>
      <c r="AK75" s="15"/>
      <c r="AL75" s="15"/>
      <c r="AM75" s="15"/>
      <c r="AN75" s="15"/>
      <c r="AO75" s="15">
        <v>0</v>
      </c>
      <c r="AP75" s="15">
        <f>0</f>
        <v>0</v>
      </c>
      <c r="AQ75" s="15">
        <f>7303.952/1000</f>
        <v>7.3039520000000007</v>
      </c>
      <c r="AR75" s="15">
        <f>0.3625</f>
        <v>0.36249999999999999</v>
      </c>
      <c r="AS75" s="15">
        <v>0</v>
      </c>
      <c r="AT75" s="15"/>
      <c r="AU75" s="15"/>
      <c r="AV75" s="15"/>
      <c r="AW75" s="15"/>
      <c r="AX75" s="15"/>
      <c r="AY75" s="15"/>
      <c r="AZ75" s="15">
        <v>0</v>
      </c>
      <c r="BA75" s="15">
        <f t="shared" si="24"/>
        <v>1</v>
      </c>
      <c r="BB75" s="15">
        <f>7120.203/1000</f>
        <v>7.1202030000000001</v>
      </c>
      <c r="BC75" s="15">
        <v>0</v>
      </c>
      <c r="BD75" s="15">
        <v>0</v>
      </c>
      <c r="BE75" s="15"/>
      <c r="BF75" s="15"/>
      <c r="BG75" s="15"/>
      <c r="BH75" s="15"/>
      <c r="BI75" s="15"/>
      <c r="BJ75" s="15"/>
      <c r="BK75" s="15">
        <v>0</v>
      </c>
      <c r="BL75" s="15">
        <f t="shared" si="25"/>
        <v>1</v>
      </c>
      <c r="BM75" s="15">
        <f>9735.919/1000</f>
        <v>9.7359189999999991</v>
      </c>
      <c r="BN75" s="15">
        <v>0</v>
      </c>
      <c r="BO75" s="15"/>
      <c r="BP75" s="15"/>
      <c r="BQ75" s="15"/>
      <c r="BR75" s="15"/>
      <c r="BS75" s="15">
        <v>0</v>
      </c>
      <c r="BT75" s="15">
        <f t="shared" si="23"/>
        <v>1</v>
      </c>
      <c r="BU75" s="15">
        <f>10770.23/1000</f>
        <v>10.77023</v>
      </c>
      <c r="BV75" s="15">
        <v>0</v>
      </c>
      <c r="BW75" s="15">
        <v>0</v>
      </c>
      <c r="BX75" s="15"/>
      <c r="BY75" s="15"/>
      <c r="BZ75" s="15"/>
      <c r="CA75" s="15"/>
      <c r="CB75" s="15"/>
      <c r="CC75" s="15"/>
      <c r="CD75" s="15">
        <v>0</v>
      </c>
      <c r="CE75" s="15">
        <f>1/2</f>
        <v>0.5</v>
      </c>
      <c r="CF75" s="15">
        <f>13220.96/1000</f>
        <v>13.22096</v>
      </c>
      <c r="CG75" s="15">
        <f>0.025</f>
        <v>2.5000000000000001E-2</v>
      </c>
      <c r="CH75" s="15"/>
      <c r="CI75" s="15"/>
      <c r="CJ75" s="15"/>
      <c r="CK75" s="15">
        <f t="shared" si="22"/>
        <v>52.103566000000001</v>
      </c>
      <c r="CL75" s="15">
        <f>1/8</f>
        <v>0.125</v>
      </c>
      <c r="CM75" s="15">
        <v>0</v>
      </c>
      <c r="CN75" s="15">
        <v>0</v>
      </c>
      <c r="CO75" s="15">
        <f>Table1[[#This Row],[TotalTrapsRisked]]/5</f>
        <v>0</v>
      </c>
      <c r="CP75" s="15">
        <v>0</v>
      </c>
      <c r="CQ75" s="15">
        <v>0</v>
      </c>
      <c r="CR75" s="15">
        <v>4.1666666666666664E-2</v>
      </c>
      <c r="CS75" s="15">
        <v>0.18181818181818182</v>
      </c>
      <c r="CT75" s="15">
        <v>0</v>
      </c>
      <c r="CU75" s="15">
        <v>100</v>
      </c>
      <c r="CV75" s="15">
        <v>200</v>
      </c>
      <c r="CW75" s="15">
        <v>0</v>
      </c>
      <c r="CX75" s="15"/>
      <c r="CY75" s="15"/>
      <c r="CZ75" s="15"/>
      <c r="DA75" s="15"/>
      <c r="DB75" s="15"/>
      <c r="DC75" s="15"/>
      <c r="DD75" s="15">
        <v>0</v>
      </c>
      <c r="DE75" s="15">
        <v>0</v>
      </c>
      <c r="DF75" s="15">
        <v>5</v>
      </c>
      <c r="DG75" s="15">
        <v>4</v>
      </c>
      <c r="DH75" s="15">
        <v>4</v>
      </c>
      <c r="DI75" s="15">
        <v>2</v>
      </c>
      <c r="DJ75" s="15">
        <v>4</v>
      </c>
      <c r="DK75" s="15">
        <v>5</v>
      </c>
      <c r="DL75" s="15">
        <v>5</v>
      </c>
      <c r="DM75" s="15">
        <v>5</v>
      </c>
      <c r="DN75" s="15">
        <v>2</v>
      </c>
      <c r="DO75" s="15">
        <v>3</v>
      </c>
      <c r="DP75" s="15">
        <v>4</v>
      </c>
      <c r="DQ75" s="15">
        <v>4</v>
      </c>
      <c r="DR75" s="15">
        <v>4</v>
      </c>
      <c r="DS75" s="15">
        <v>5</v>
      </c>
      <c r="DT75" s="15">
        <v>5</v>
      </c>
      <c r="DU75" s="15">
        <v>4</v>
      </c>
      <c r="DV75" s="15">
        <v>4</v>
      </c>
      <c r="DW75" s="15">
        <v>3</v>
      </c>
      <c r="DX75" s="15">
        <v>2</v>
      </c>
      <c r="DY75" s="15">
        <v>4</v>
      </c>
      <c r="DZ75" s="15">
        <v>5</v>
      </c>
      <c r="EA75" s="15">
        <v>5</v>
      </c>
      <c r="EB75" s="15">
        <v>3</v>
      </c>
      <c r="EC75" s="15">
        <v>2</v>
      </c>
      <c r="ED75" s="15">
        <v>2</v>
      </c>
      <c r="EE75" s="15">
        <v>5</v>
      </c>
      <c r="EF75" s="15">
        <v>3</v>
      </c>
      <c r="EG75" s="15">
        <v>2</v>
      </c>
      <c r="EH75" s="15">
        <v>5</v>
      </c>
      <c r="EI75" s="15">
        <v>4</v>
      </c>
      <c r="EJ75" s="15">
        <v>5</v>
      </c>
      <c r="EK75" s="15">
        <v>4</v>
      </c>
      <c r="EL75" s="15">
        <v>4</v>
      </c>
      <c r="EM75" s="15">
        <v>4</v>
      </c>
      <c r="EN75" s="15">
        <v>3</v>
      </c>
      <c r="EO75" s="15">
        <v>5</v>
      </c>
      <c r="EP75" s="15">
        <v>5</v>
      </c>
      <c r="EQ75" s="15">
        <v>5</v>
      </c>
      <c r="ER75" s="15">
        <v>2</v>
      </c>
      <c r="ES75" s="15">
        <v>4</v>
      </c>
      <c r="ET75" s="15">
        <v>3</v>
      </c>
      <c r="EU75" s="15">
        <v>2</v>
      </c>
      <c r="EV75" s="15">
        <v>4</v>
      </c>
      <c r="EW75" s="15">
        <v>5</v>
      </c>
      <c r="EX75" s="15">
        <v>4</v>
      </c>
      <c r="EY75" s="15">
        <v>5</v>
      </c>
      <c r="EZ75" s="15">
        <v>4</v>
      </c>
      <c r="FA75" s="15">
        <v>4</v>
      </c>
      <c r="FB75" s="15">
        <v>2</v>
      </c>
      <c r="FC75" s="15">
        <v>4</v>
      </c>
      <c r="FD75" s="15">
        <v>2</v>
      </c>
      <c r="FE75" s="15">
        <v>4</v>
      </c>
      <c r="FF75" s="15">
        <v>2</v>
      </c>
      <c r="FG75" s="15">
        <v>3</v>
      </c>
      <c r="FH75" s="15">
        <v>3</v>
      </c>
      <c r="FI75" s="15">
        <v>2</v>
      </c>
      <c r="FJ75" s="15">
        <v>5</v>
      </c>
      <c r="FK75" s="15">
        <v>4</v>
      </c>
      <c r="FL75" s="15">
        <v>5</v>
      </c>
      <c r="FM75" s="15">
        <v>5</v>
      </c>
      <c r="FN75" s="15">
        <v>5</v>
      </c>
      <c r="FO75" s="15">
        <v>2</v>
      </c>
      <c r="FP75" s="15">
        <v>4</v>
      </c>
      <c r="FQ75" s="15">
        <v>4</v>
      </c>
      <c r="FR75" s="15">
        <v>4</v>
      </c>
      <c r="FS75" s="15">
        <v>4</v>
      </c>
      <c r="FT75" s="15">
        <v>3</v>
      </c>
      <c r="FU75" s="15">
        <v>2</v>
      </c>
      <c r="FV75" s="15">
        <v>4</v>
      </c>
      <c r="FW75" s="15">
        <v>1</v>
      </c>
      <c r="FX75" s="15">
        <v>5</v>
      </c>
      <c r="FY75" s="15">
        <v>3</v>
      </c>
      <c r="FZ75" s="15">
        <v>3</v>
      </c>
      <c r="GA75" s="15">
        <v>2</v>
      </c>
      <c r="GB75" s="15">
        <v>2</v>
      </c>
      <c r="GC75" s="15">
        <v>2</v>
      </c>
      <c r="GD75" s="15">
        <v>4</v>
      </c>
      <c r="GE75" s="15">
        <v>3</v>
      </c>
      <c r="GF75" s="15">
        <v>4</v>
      </c>
      <c r="GG75" s="15">
        <v>2</v>
      </c>
      <c r="GH75" s="15">
        <v>2</v>
      </c>
      <c r="GI75" s="15">
        <v>1</v>
      </c>
      <c r="GJ75" s="15">
        <v>4</v>
      </c>
      <c r="GK75" s="15">
        <v>4</v>
      </c>
      <c r="GL75" s="15">
        <v>2</v>
      </c>
      <c r="GM75" s="15">
        <v>5</v>
      </c>
      <c r="GN75" s="15">
        <v>4</v>
      </c>
      <c r="GO75" s="15">
        <v>4</v>
      </c>
      <c r="GP75" s="15">
        <v>2</v>
      </c>
      <c r="GQ75" s="15">
        <v>2</v>
      </c>
      <c r="GR75" s="15">
        <v>4</v>
      </c>
      <c r="GS75" s="15">
        <v>4</v>
      </c>
      <c r="GT75" s="15">
        <v>3</v>
      </c>
      <c r="GU75" s="15">
        <v>2</v>
      </c>
      <c r="GV75" s="15">
        <v>4</v>
      </c>
      <c r="GW75" s="15">
        <v>3</v>
      </c>
      <c r="GX75" s="15">
        <v>2</v>
      </c>
      <c r="GY75" s="15">
        <v>2</v>
      </c>
      <c r="GZ75" s="15">
        <v>2</v>
      </c>
      <c r="HA75" s="15">
        <v>2</v>
      </c>
      <c r="HB75" s="15">
        <v>2</v>
      </c>
      <c r="HC75" s="15">
        <v>4</v>
      </c>
      <c r="HD75" s="15">
        <v>3</v>
      </c>
      <c r="HE75" s="15">
        <v>1</v>
      </c>
      <c r="HF75" s="15">
        <v>1</v>
      </c>
      <c r="HG75" s="15">
        <v>1</v>
      </c>
      <c r="HH75" s="15">
        <v>1</v>
      </c>
      <c r="HI75" s="15">
        <v>4</v>
      </c>
      <c r="HJ75" s="15">
        <v>1</v>
      </c>
      <c r="HK75" s="15">
        <v>3</v>
      </c>
      <c r="HL75" s="15">
        <v>2</v>
      </c>
      <c r="HM75" s="15">
        <v>4</v>
      </c>
      <c r="HN75" s="15">
        <v>2</v>
      </c>
      <c r="HO75" s="15">
        <v>2</v>
      </c>
      <c r="HP75" s="15">
        <v>3</v>
      </c>
      <c r="HQ75" s="15">
        <v>4</v>
      </c>
      <c r="HR75" s="15">
        <v>2</v>
      </c>
      <c r="HS75" s="15">
        <v>2</v>
      </c>
      <c r="HT75" s="15">
        <v>3</v>
      </c>
      <c r="HU75" s="15">
        <v>1</v>
      </c>
      <c r="HV75" s="15">
        <v>3</v>
      </c>
      <c r="HW75" s="15">
        <v>3.5</v>
      </c>
      <c r="HX75" s="15">
        <v>2.5</v>
      </c>
      <c r="HY75" s="15">
        <v>4.5</v>
      </c>
      <c r="HZ75" s="15">
        <v>4</v>
      </c>
      <c r="IA75" s="15">
        <v>2</v>
      </c>
      <c r="IB75" s="15">
        <v>2</v>
      </c>
      <c r="IC75" s="15">
        <v>4.75</v>
      </c>
      <c r="ID75" s="15">
        <v>4.5</v>
      </c>
      <c r="IE75" s="15">
        <v>3</v>
      </c>
      <c r="IF75" s="15">
        <v>4.5</v>
      </c>
      <c r="IG75" s="15">
        <v>4</v>
      </c>
      <c r="IH75" s="15">
        <v>3.75</v>
      </c>
      <c r="II75" s="15">
        <v>3.75</v>
      </c>
      <c r="IJ75" s="15">
        <v>4.25</v>
      </c>
      <c r="IK75" s="15">
        <v>3</v>
      </c>
      <c r="IL75" s="15">
        <v>3.25</v>
      </c>
      <c r="IM75" s="15">
        <v>3.75</v>
      </c>
      <c r="IN75" s="15">
        <v>3.5</v>
      </c>
      <c r="IO75" s="15">
        <v>3.5</v>
      </c>
      <c r="IP75" s="15">
        <v>4.5</v>
      </c>
      <c r="IQ75" s="15">
        <v>4.25</v>
      </c>
      <c r="IR75" s="15">
        <v>3</v>
      </c>
      <c r="IS75" s="15">
        <v>3.25</v>
      </c>
      <c r="IT75" s="15">
        <v>3.25</v>
      </c>
      <c r="IU75" s="15">
        <v>3</v>
      </c>
      <c r="IV75" s="15">
        <v>4.25</v>
      </c>
      <c r="IW75" s="15">
        <v>4.75</v>
      </c>
      <c r="IX75" s="15">
        <v>3.75</v>
      </c>
      <c r="IY75" s="15">
        <v>3.5</v>
      </c>
      <c r="IZ75" s="15">
        <v>4.75</v>
      </c>
    </row>
    <row r="76" spans="1:260" s="12" customFormat="1" x14ac:dyDescent="0.3">
      <c r="A76" s="15">
        <v>79</v>
      </c>
      <c r="B76" s="15" t="s">
        <v>469</v>
      </c>
      <c r="C76" s="16">
        <v>21</v>
      </c>
      <c r="D76" s="15" t="s">
        <v>288</v>
      </c>
      <c r="E76" s="15" t="s">
        <v>259</v>
      </c>
      <c r="F76" s="15" t="s">
        <v>260</v>
      </c>
      <c r="G76" s="15" t="s">
        <v>268</v>
      </c>
      <c r="H76" s="15" t="s">
        <v>269</v>
      </c>
      <c r="I76" s="15" t="s">
        <v>280</v>
      </c>
      <c r="J76" s="15" t="s">
        <v>280</v>
      </c>
      <c r="K76" s="15" t="s">
        <v>277</v>
      </c>
      <c r="L76" s="15" t="s">
        <v>281</v>
      </c>
      <c r="M76" s="15" t="s">
        <v>378</v>
      </c>
      <c r="N76" s="15"/>
      <c r="O76" s="15"/>
      <c r="P76" s="15"/>
      <c r="Q76" s="15"/>
      <c r="R76" s="15">
        <f>1/1</f>
        <v>1</v>
      </c>
      <c r="S76" s="15">
        <v>0</v>
      </c>
      <c r="T76" s="15">
        <f>3192.005/1000</f>
        <v>3.192005</v>
      </c>
      <c r="U76" s="15">
        <v>0</v>
      </c>
      <c r="V76" s="15">
        <v>0</v>
      </c>
      <c r="W76" s="15">
        <v>0</v>
      </c>
      <c r="X76" s="15">
        <f>21672.84/1000</f>
        <v>21.672840000000001</v>
      </c>
      <c r="Y76" s="15">
        <v>0</v>
      </c>
      <c r="Z76" s="15">
        <v>1</v>
      </c>
      <c r="AA76" s="15">
        <f>5/5</f>
        <v>1</v>
      </c>
      <c r="AB76" s="15">
        <f>5517.454/1000</f>
        <v>5.5174539999999999</v>
      </c>
      <c r="AC76" s="15">
        <f>1.05</f>
        <v>1.05</v>
      </c>
      <c r="AD76" s="15"/>
      <c r="AE76" s="15"/>
      <c r="AF76" s="15"/>
      <c r="AG76" s="15"/>
      <c r="AH76" s="15">
        <v>1</v>
      </c>
      <c r="AI76" s="15">
        <v>0</v>
      </c>
      <c r="AJ76" s="15">
        <f>5/5</f>
        <v>1</v>
      </c>
      <c r="AK76" s="15"/>
      <c r="AL76" s="15"/>
      <c r="AM76" s="15"/>
      <c r="AN76" s="15"/>
      <c r="AO76" s="15">
        <v>0</v>
      </c>
      <c r="AP76" s="15">
        <f>3/3</f>
        <v>1</v>
      </c>
      <c r="AQ76" s="15">
        <f>17261.67/1000</f>
        <v>17.261669999999999</v>
      </c>
      <c r="AR76" s="15">
        <f>0.085</f>
        <v>8.5000000000000006E-2</v>
      </c>
      <c r="AS76" s="15">
        <v>0</v>
      </c>
      <c r="AT76" s="15"/>
      <c r="AU76" s="15"/>
      <c r="AV76" s="15"/>
      <c r="AW76" s="15"/>
      <c r="AX76" s="15"/>
      <c r="AY76" s="15"/>
      <c r="AZ76" s="15">
        <v>0</v>
      </c>
      <c r="BA76" s="15">
        <f t="shared" si="24"/>
        <v>1</v>
      </c>
      <c r="BB76" s="15">
        <f>6679.083/1000</f>
        <v>6.6790829999999994</v>
      </c>
      <c r="BC76" s="15">
        <v>0</v>
      </c>
      <c r="BD76" s="15">
        <v>0</v>
      </c>
      <c r="BE76" s="15"/>
      <c r="BF76" s="15"/>
      <c r="BG76" s="15">
        <v>1</v>
      </c>
      <c r="BH76" s="15">
        <v>0</v>
      </c>
      <c r="BI76" s="15"/>
      <c r="BJ76" s="15">
        <f>1.05</f>
        <v>1.05</v>
      </c>
      <c r="BK76" s="15">
        <v>0</v>
      </c>
      <c r="BL76" s="15">
        <f t="shared" si="25"/>
        <v>1</v>
      </c>
      <c r="BM76" s="15">
        <f>9826.057/1000</f>
        <v>9.8260570000000005</v>
      </c>
      <c r="BN76" s="15">
        <v>0</v>
      </c>
      <c r="BO76" s="15"/>
      <c r="BP76" s="15"/>
      <c r="BQ76" s="15"/>
      <c r="BR76" s="15"/>
      <c r="BS76" s="15">
        <v>0</v>
      </c>
      <c r="BT76" s="15">
        <f t="shared" si="23"/>
        <v>1</v>
      </c>
      <c r="BU76" s="15">
        <f>9083.04/1000</f>
        <v>9.0830400000000004</v>
      </c>
      <c r="BV76" s="15">
        <v>0</v>
      </c>
      <c r="BW76" s="15">
        <v>0</v>
      </c>
      <c r="BX76" s="15"/>
      <c r="BY76" s="15"/>
      <c r="BZ76" s="15"/>
      <c r="CA76" s="15"/>
      <c r="CB76" s="15"/>
      <c r="CC76" s="15"/>
      <c r="CD76" s="15">
        <v>0</v>
      </c>
      <c r="CE76" s="15">
        <f>1/2</f>
        <v>0.5</v>
      </c>
      <c r="CF76" s="15">
        <f>11360.52/1000</f>
        <v>11.360520000000001</v>
      </c>
      <c r="CG76" s="15">
        <f>0.025</f>
        <v>2.5000000000000001E-2</v>
      </c>
      <c r="CH76" s="15">
        <v>0</v>
      </c>
      <c r="CI76" s="15"/>
      <c r="CJ76" s="15"/>
      <c r="CK76" s="15">
        <f t="shared" si="22"/>
        <v>84.592669000000001</v>
      </c>
      <c r="CL76" s="15">
        <f>3/8</f>
        <v>0.375</v>
      </c>
      <c r="CM76" s="15">
        <v>0</v>
      </c>
      <c r="CN76" s="15">
        <v>1</v>
      </c>
      <c r="CO76" s="15">
        <f>Table1[[#This Row],[TotalTrapsRisked]]/5</f>
        <v>0.2</v>
      </c>
      <c r="CP76" s="15">
        <v>0</v>
      </c>
      <c r="CQ76" s="15">
        <v>1</v>
      </c>
      <c r="CR76" s="15">
        <v>6.25E-2</v>
      </c>
      <c r="CS76" s="15">
        <v>0.27272727272727271</v>
      </c>
      <c r="CT76" s="15">
        <v>0</v>
      </c>
      <c r="CU76" s="15">
        <v>186</v>
      </c>
      <c r="CV76" s="15">
        <v>300</v>
      </c>
      <c r="CW76" s="15">
        <v>0</v>
      </c>
      <c r="CX76" s="15"/>
      <c r="CY76" s="15"/>
      <c r="CZ76" s="15"/>
      <c r="DA76" s="15"/>
      <c r="DB76" s="15"/>
      <c r="DC76" s="15"/>
      <c r="DD76" s="15">
        <v>0</v>
      </c>
      <c r="DE76" s="15">
        <v>0</v>
      </c>
      <c r="DF76" s="15">
        <v>4</v>
      </c>
      <c r="DG76" s="15">
        <v>4</v>
      </c>
      <c r="DH76" s="15">
        <v>3</v>
      </c>
      <c r="DI76" s="15">
        <v>4</v>
      </c>
      <c r="DJ76" s="15">
        <v>4</v>
      </c>
      <c r="DK76" s="15">
        <v>3</v>
      </c>
      <c r="DL76" s="15">
        <v>4</v>
      </c>
      <c r="DM76" s="15">
        <v>4</v>
      </c>
      <c r="DN76" s="15">
        <v>2</v>
      </c>
      <c r="DO76" s="15">
        <v>3</v>
      </c>
      <c r="DP76" s="15">
        <v>2</v>
      </c>
      <c r="DQ76" s="15">
        <v>4</v>
      </c>
      <c r="DR76" s="15">
        <v>4</v>
      </c>
      <c r="DS76" s="15">
        <v>4</v>
      </c>
      <c r="DT76" s="15">
        <v>4</v>
      </c>
      <c r="DU76" s="15">
        <v>1</v>
      </c>
      <c r="DV76" s="15">
        <v>2</v>
      </c>
      <c r="DW76" s="15">
        <v>2</v>
      </c>
      <c r="DX76" s="15">
        <v>1</v>
      </c>
      <c r="DY76" s="15">
        <v>4</v>
      </c>
      <c r="DZ76" s="15">
        <v>3</v>
      </c>
      <c r="EA76" s="15">
        <v>4</v>
      </c>
      <c r="EB76" s="15">
        <v>3</v>
      </c>
      <c r="EC76" s="15">
        <v>1</v>
      </c>
      <c r="ED76" s="15">
        <v>4</v>
      </c>
      <c r="EE76" s="15">
        <v>1</v>
      </c>
      <c r="EF76" s="15">
        <v>4</v>
      </c>
      <c r="EG76" s="15">
        <v>2</v>
      </c>
      <c r="EH76" s="15">
        <v>4</v>
      </c>
      <c r="EI76" s="15">
        <v>2</v>
      </c>
      <c r="EJ76" s="15">
        <v>2</v>
      </c>
      <c r="EK76" s="15">
        <v>4</v>
      </c>
      <c r="EL76" s="15">
        <v>3</v>
      </c>
      <c r="EM76" s="15">
        <v>4</v>
      </c>
      <c r="EN76" s="15">
        <v>3</v>
      </c>
      <c r="EO76" s="15">
        <v>2</v>
      </c>
      <c r="EP76" s="15">
        <v>4</v>
      </c>
      <c r="EQ76" s="15">
        <v>3</v>
      </c>
      <c r="ER76" s="15">
        <v>2</v>
      </c>
      <c r="ES76" s="15">
        <v>3</v>
      </c>
      <c r="ET76" s="15">
        <v>1</v>
      </c>
      <c r="EU76" s="15">
        <v>2</v>
      </c>
      <c r="EV76" s="15">
        <v>4</v>
      </c>
      <c r="EW76" s="15">
        <v>4</v>
      </c>
      <c r="EX76" s="15">
        <v>4</v>
      </c>
      <c r="EY76" s="15">
        <v>2</v>
      </c>
      <c r="EZ76" s="15">
        <v>3</v>
      </c>
      <c r="FA76" s="15">
        <v>2</v>
      </c>
      <c r="FB76" s="15">
        <v>2</v>
      </c>
      <c r="FC76" s="15">
        <v>4</v>
      </c>
      <c r="FD76" s="15">
        <v>2</v>
      </c>
      <c r="FE76" s="15">
        <v>3</v>
      </c>
      <c r="FF76" s="15">
        <v>4</v>
      </c>
      <c r="FG76" s="15">
        <v>4</v>
      </c>
      <c r="FH76" s="15">
        <v>4</v>
      </c>
      <c r="FI76" s="15">
        <v>1</v>
      </c>
      <c r="FJ76" s="15">
        <v>4</v>
      </c>
      <c r="FK76" s="15">
        <v>2</v>
      </c>
      <c r="FL76" s="15">
        <v>4</v>
      </c>
      <c r="FM76" s="15">
        <v>2</v>
      </c>
      <c r="FN76" s="15">
        <v>3</v>
      </c>
      <c r="FO76" s="15">
        <v>1</v>
      </c>
      <c r="FP76" s="15">
        <v>2</v>
      </c>
      <c r="FQ76" s="15">
        <v>4</v>
      </c>
      <c r="FR76" s="15">
        <v>4</v>
      </c>
      <c r="FS76" s="15">
        <v>3</v>
      </c>
      <c r="FT76" s="15">
        <v>2</v>
      </c>
      <c r="FU76" s="15">
        <v>3</v>
      </c>
      <c r="FV76" s="15">
        <v>4</v>
      </c>
      <c r="FW76" s="15">
        <v>1</v>
      </c>
      <c r="FX76" s="15">
        <v>1</v>
      </c>
      <c r="FY76" s="15">
        <v>2</v>
      </c>
      <c r="FZ76" s="15">
        <v>4</v>
      </c>
      <c r="GA76" s="15">
        <v>2</v>
      </c>
      <c r="GB76" s="15">
        <v>2</v>
      </c>
      <c r="GC76" s="15">
        <v>3</v>
      </c>
      <c r="GD76" s="15">
        <v>2</v>
      </c>
      <c r="GE76" s="15">
        <v>2</v>
      </c>
      <c r="GF76" s="15">
        <v>2</v>
      </c>
      <c r="GG76" s="15">
        <v>2</v>
      </c>
      <c r="GH76" s="15">
        <v>2</v>
      </c>
      <c r="GI76" s="15">
        <v>4</v>
      </c>
      <c r="GJ76" s="15">
        <v>3</v>
      </c>
      <c r="GK76" s="15">
        <v>4</v>
      </c>
      <c r="GL76" s="15">
        <v>3</v>
      </c>
      <c r="GM76" s="15">
        <v>3</v>
      </c>
      <c r="GN76" s="15">
        <v>2</v>
      </c>
      <c r="GO76" s="15">
        <v>4</v>
      </c>
      <c r="GP76" s="15">
        <v>2</v>
      </c>
      <c r="GQ76" s="15">
        <v>2</v>
      </c>
      <c r="GR76" s="15">
        <v>3</v>
      </c>
      <c r="GS76" s="15">
        <v>4</v>
      </c>
      <c r="GT76" s="15">
        <v>2</v>
      </c>
      <c r="GU76" s="15">
        <v>2</v>
      </c>
      <c r="GV76" s="15">
        <v>2</v>
      </c>
      <c r="GW76" s="15">
        <v>4</v>
      </c>
      <c r="GX76" s="15">
        <v>4</v>
      </c>
      <c r="GY76" s="15">
        <v>2</v>
      </c>
      <c r="GZ76" s="15">
        <v>2</v>
      </c>
      <c r="HA76" s="15">
        <v>2</v>
      </c>
      <c r="HB76" s="15">
        <v>2</v>
      </c>
      <c r="HC76" s="15">
        <v>5</v>
      </c>
      <c r="HD76" s="15">
        <v>2</v>
      </c>
      <c r="HE76" s="15">
        <v>2</v>
      </c>
      <c r="HF76" s="15">
        <v>2</v>
      </c>
      <c r="HG76" s="15">
        <v>2</v>
      </c>
      <c r="HH76" s="15">
        <v>4</v>
      </c>
      <c r="HI76" s="15">
        <v>3</v>
      </c>
      <c r="HJ76" s="15">
        <v>3</v>
      </c>
      <c r="HK76" s="15">
        <v>2</v>
      </c>
      <c r="HL76" s="15">
        <v>2</v>
      </c>
      <c r="HM76" s="15">
        <v>4</v>
      </c>
      <c r="HN76" s="15">
        <v>2</v>
      </c>
      <c r="HO76" s="15">
        <v>3</v>
      </c>
      <c r="HP76" s="15">
        <v>3</v>
      </c>
      <c r="HQ76" s="15">
        <v>2</v>
      </c>
      <c r="HR76" s="15">
        <v>2</v>
      </c>
      <c r="HS76" s="15">
        <v>4</v>
      </c>
      <c r="HT76" s="15">
        <v>4</v>
      </c>
      <c r="HU76" s="15">
        <v>3</v>
      </c>
      <c r="HV76" s="15">
        <v>2</v>
      </c>
      <c r="HW76" s="15">
        <v>3.75</v>
      </c>
      <c r="HX76" s="15">
        <v>3.75</v>
      </c>
      <c r="HY76" s="15">
        <v>3.75</v>
      </c>
      <c r="HZ76" s="15">
        <v>4</v>
      </c>
      <c r="IA76" s="15">
        <v>3.75</v>
      </c>
      <c r="IB76" s="15">
        <v>3.75</v>
      </c>
      <c r="IC76" s="15">
        <v>3.25</v>
      </c>
      <c r="ID76" s="15">
        <v>2.5</v>
      </c>
      <c r="IE76" s="15">
        <v>1.5</v>
      </c>
      <c r="IF76" s="15">
        <v>1.75</v>
      </c>
      <c r="IG76" s="15">
        <v>2.75</v>
      </c>
      <c r="IH76" s="15">
        <v>2</v>
      </c>
      <c r="II76" s="15">
        <v>4.25</v>
      </c>
      <c r="IJ76" s="15">
        <v>4</v>
      </c>
      <c r="IK76" s="15">
        <v>3.5</v>
      </c>
      <c r="IL76" s="15">
        <v>2.5</v>
      </c>
      <c r="IM76" s="15">
        <v>3</v>
      </c>
      <c r="IN76" s="15">
        <v>4</v>
      </c>
      <c r="IO76" s="15">
        <v>2.5</v>
      </c>
      <c r="IP76" s="15">
        <v>3.5</v>
      </c>
      <c r="IQ76" s="15">
        <v>4</v>
      </c>
      <c r="IR76" s="15">
        <v>3.25</v>
      </c>
      <c r="IS76" s="15">
        <v>2.5</v>
      </c>
      <c r="IT76" s="15">
        <v>2.5</v>
      </c>
      <c r="IU76" s="15">
        <v>4</v>
      </c>
      <c r="IV76" s="15">
        <v>4.25</v>
      </c>
      <c r="IW76" s="15">
        <v>4</v>
      </c>
      <c r="IX76" s="15">
        <v>4.25</v>
      </c>
      <c r="IY76" s="15">
        <v>3.25</v>
      </c>
      <c r="IZ76" s="15">
        <v>3.75</v>
      </c>
    </row>
    <row r="77" spans="1:260" s="12" customFormat="1" x14ac:dyDescent="0.3">
      <c r="A77" s="15">
        <v>80</v>
      </c>
      <c r="B77" s="15" t="s">
        <v>469</v>
      </c>
      <c r="C77" s="16">
        <v>21</v>
      </c>
      <c r="D77" s="15" t="s">
        <v>288</v>
      </c>
      <c r="E77" s="15" t="s">
        <v>259</v>
      </c>
      <c r="F77" s="15" t="s">
        <v>260</v>
      </c>
      <c r="G77" s="15" t="s">
        <v>268</v>
      </c>
      <c r="H77" s="15" t="s">
        <v>269</v>
      </c>
      <c r="I77" s="15" t="s">
        <v>280</v>
      </c>
      <c r="J77" s="15" t="s">
        <v>313</v>
      </c>
      <c r="K77" s="15" t="s">
        <v>272</v>
      </c>
      <c r="L77" s="15" t="s">
        <v>281</v>
      </c>
      <c r="M77" s="15" t="s">
        <v>417</v>
      </c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>
        <v>2</v>
      </c>
      <c r="AA77" s="15">
        <f>1/5</f>
        <v>0.2</v>
      </c>
      <c r="AB77" s="15"/>
      <c r="AC77" s="15">
        <f>1.05+1.05</f>
        <v>2.1</v>
      </c>
      <c r="AD77" s="15">
        <v>0</v>
      </c>
      <c r="AE77" s="15">
        <f>2/2</f>
        <v>1</v>
      </c>
      <c r="AF77" s="15">
        <f>4431.866/1000</f>
        <v>4.4318660000000003</v>
      </c>
      <c r="AG77" s="15">
        <f>0</f>
        <v>0</v>
      </c>
      <c r="AH77" s="15">
        <v>0</v>
      </c>
      <c r="AI77" s="15"/>
      <c r="AJ77" s="15"/>
      <c r="AK77" s="15">
        <v>0</v>
      </c>
      <c r="AL77" s="15">
        <f>3/8</f>
        <v>0.375</v>
      </c>
      <c r="AM77" s="15">
        <f>25887.08/1000</f>
        <v>25.887080000000001</v>
      </c>
      <c r="AN77" s="15">
        <f>0.45</f>
        <v>0.45</v>
      </c>
      <c r="AO77" s="15"/>
      <c r="AP77" s="15"/>
      <c r="AQ77" s="15"/>
      <c r="AR77" s="15"/>
      <c r="AS77" s="15">
        <v>0</v>
      </c>
      <c r="AT77" s="15"/>
      <c r="AU77" s="15"/>
      <c r="AV77" s="15">
        <v>2</v>
      </c>
      <c r="AW77" s="15">
        <f>2/4</f>
        <v>0.5</v>
      </c>
      <c r="AX77" s="15"/>
      <c r="AY77" s="15">
        <f>1.0025+1</f>
        <v>2.0024999999999999</v>
      </c>
      <c r="AZ77" s="15">
        <f>0</f>
        <v>0</v>
      </c>
      <c r="BA77" s="15">
        <f t="shared" si="24"/>
        <v>1</v>
      </c>
      <c r="BB77" s="15">
        <f>5750.271/1000</f>
        <v>5.7502709999999997</v>
      </c>
      <c r="BC77" s="15">
        <v>0</v>
      </c>
      <c r="BD77" s="15">
        <v>0</v>
      </c>
      <c r="BE77" s="15"/>
      <c r="BF77" s="15"/>
      <c r="BG77" s="15"/>
      <c r="BH77" s="15"/>
      <c r="BI77" s="15"/>
      <c r="BJ77" s="15"/>
      <c r="BK77" s="15">
        <v>0</v>
      </c>
      <c r="BL77" s="15">
        <f t="shared" si="25"/>
        <v>1</v>
      </c>
      <c r="BM77" s="15">
        <f>10067.33/1000</f>
        <v>10.06733</v>
      </c>
      <c r="BN77" s="15">
        <v>0</v>
      </c>
      <c r="BO77" s="15"/>
      <c r="BP77" s="15"/>
      <c r="BQ77" s="15"/>
      <c r="BR77" s="15"/>
      <c r="BS77" s="15">
        <v>0</v>
      </c>
      <c r="BT77" s="15">
        <f t="shared" si="23"/>
        <v>1</v>
      </c>
      <c r="BU77" s="15">
        <f>11433.45/1000</f>
        <v>11.433450000000001</v>
      </c>
      <c r="BV77" s="15">
        <v>0</v>
      </c>
      <c r="BW77" s="15">
        <v>0</v>
      </c>
      <c r="BX77" s="15"/>
      <c r="BY77" s="15"/>
      <c r="BZ77" s="15">
        <v>3</v>
      </c>
      <c r="CA77" s="15">
        <f>0/5</f>
        <v>0</v>
      </c>
      <c r="CB77" s="15"/>
      <c r="CC77" s="15">
        <f>1.05*3</f>
        <v>3.1500000000000004</v>
      </c>
      <c r="CD77" s="15">
        <v>0</v>
      </c>
      <c r="CE77" s="15">
        <f>2/2</f>
        <v>1</v>
      </c>
      <c r="CF77" s="15">
        <f>15468.53/1000</f>
        <v>15.468530000000001</v>
      </c>
      <c r="CG77" s="15">
        <f>0.1425</f>
        <v>0.14249999999999999</v>
      </c>
      <c r="CH77" s="15">
        <v>0</v>
      </c>
      <c r="CI77" s="15"/>
      <c r="CJ77" s="15"/>
      <c r="CK77" s="15">
        <f t="shared" si="22"/>
        <v>73.038527000000002</v>
      </c>
      <c r="CL77" s="15">
        <f>4/8</f>
        <v>0.5</v>
      </c>
      <c r="CM77" s="15">
        <v>2</v>
      </c>
      <c r="CN77" s="15">
        <v>0</v>
      </c>
      <c r="CO77" s="15">
        <f>Table1[[#This Row],[TotalTrapsRisked]]/5</f>
        <v>0</v>
      </c>
      <c r="CP77" s="15">
        <v>0</v>
      </c>
      <c r="CQ77" s="15">
        <v>0</v>
      </c>
      <c r="CR77" s="15">
        <v>0.27083333333333331</v>
      </c>
      <c r="CS77" s="15">
        <v>0.60909090909090913</v>
      </c>
      <c r="CT77" s="15">
        <v>1</v>
      </c>
      <c r="CU77" s="15">
        <v>267</v>
      </c>
      <c r="CV77" s="15">
        <v>770</v>
      </c>
      <c r="CW77" s="15">
        <v>1</v>
      </c>
      <c r="CX77" s="15"/>
      <c r="CY77" s="15"/>
      <c r="CZ77" s="15"/>
      <c r="DA77" s="15"/>
      <c r="DB77" s="15"/>
      <c r="DC77" s="15"/>
      <c r="DD77" s="15">
        <v>0</v>
      </c>
      <c r="DE77" s="15">
        <v>0</v>
      </c>
      <c r="DF77" s="15">
        <v>4</v>
      </c>
      <c r="DG77" s="15">
        <v>3</v>
      </c>
      <c r="DH77" s="15">
        <v>3</v>
      </c>
      <c r="DI77" s="15">
        <v>4</v>
      </c>
      <c r="DJ77" s="15">
        <v>4</v>
      </c>
      <c r="DK77" s="15">
        <v>4</v>
      </c>
      <c r="DL77" s="15">
        <v>4</v>
      </c>
      <c r="DM77" s="15">
        <v>5</v>
      </c>
      <c r="DN77" s="15">
        <v>3</v>
      </c>
      <c r="DO77" s="15">
        <v>2</v>
      </c>
      <c r="DP77" s="15">
        <v>3</v>
      </c>
      <c r="DQ77" s="15">
        <v>4</v>
      </c>
      <c r="DR77" s="15">
        <v>4</v>
      </c>
      <c r="DS77" s="15">
        <v>4</v>
      </c>
      <c r="DT77" s="15">
        <v>3</v>
      </c>
      <c r="DU77" s="15">
        <v>4</v>
      </c>
      <c r="DV77" s="15">
        <v>2</v>
      </c>
      <c r="DW77" s="15">
        <v>4</v>
      </c>
      <c r="DX77" s="15">
        <v>2</v>
      </c>
      <c r="DY77" s="15">
        <v>2</v>
      </c>
      <c r="DZ77" s="15">
        <v>4</v>
      </c>
      <c r="EA77" s="15">
        <v>5</v>
      </c>
      <c r="EB77" s="15">
        <v>4</v>
      </c>
      <c r="EC77" s="15">
        <v>2</v>
      </c>
      <c r="ED77" s="15">
        <v>2</v>
      </c>
      <c r="EE77" s="15">
        <v>5</v>
      </c>
      <c r="EF77" s="15">
        <v>3</v>
      </c>
      <c r="EG77" s="15">
        <v>3</v>
      </c>
      <c r="EH77" s="15">
        <v>5</v>
      </c>
      <c r="EI77" s="15">
        <v>3</v>
      </c>
      <c r="EJ77" s="15">
        <v>4</v>
      </c>
      <c r="EK77" s="15">
        <v>3</v>
      </c>
      <c r="EL77" s="15">
        <v>4</v>
      </c>
      <c r="EM77" s="15">
        <v>4</v>
      </c>
      <c r="EN77" s="15">
        <v>3</v>
      </c>
      <c r="EO77" s="15">
        <v>5</v>
      </c>
      <c r="EP77" s="15">
        <v>2</v>
      </c>
      <c r="EQ77" s="15">
        <v>5</v>
      </c>
      <c r="ER77" s="15">
        <v>3</v>
      </c>
      <c r="ES77" s="15">
        <v>4</v>
      </c>
      <c r="ET77" s="15">
        <v>2</v>
      </c>
      <c r="EU77" s="15">
        <v>2</v>
      </c>
      <c r="EV77" s="15">
        <v>4</v>
      </c>
      <c r="EW77" s="15">
        <v>5</v>
      </c>
      <c r="EX77" s="15">
        <v>4</v>
      </c>
      <c r="EY77" s="15">
        <v>3</v>
      </c>
      <c r="EZ77" s="15">
        <v>2</v>
      </c>
      <c r="FA77" s="15">
        <v>2</v>
      </c>
      <c r="FB77" s="15">
        <v>2</v>
      </c>
      <c r="FC77" s="15">
        <v>3</v>
      </c>
      <c r="FD77" s="15">
        <v>2</v>
      </c>
      <c r="FE77" s="15">
        <v>4</v>
      </c>
      <c r="FF77" s="15">
        <v>2</v>
      </c>
      <c r="FG77" s="15">
        <v>3</v>
      </c>
      <c r="FH77" s="15">
        <v>3</v>
      </c>
      <c r="FI77" s="15">
        <v>2</v>
      </c>
      <c r="FJ77" s="15">
        <v>4</v>
      </c>
      <c r="FK77" s="15">
        <v>4</v>
      </c>
      <c r="FL77" s="15">
        <v>5</v>
      </c>
      <c r="FM77" s="15">
        <v>4</v>
      </c>
      <c r="FN77" s="15">
        <v>4</v>
      </c>
      <c r="FO77" s="15">
        <v>3</v>
      </c>
      <c r="FP77" s="15">
        <v>5</v>
      </c>
      <c r="FQ77" s="15">
        <v>4</v>
      </c>
      <c r="FR77" s="15">
        <v>3</v>
      </c>
      <c r="FS77" s="15">
        <v>5</v>
      </c>
      <c r="FT77" s="15">
        <v>3</v>
      </c>
      <c r="FU77" s="15">
        <v>2</v>
      </c>
      <c r="FV77" s="15">
        <v>4</v>
      </c>
      <c r="FW77" s="15">
        <v>3</v>
      </c>
      <c r="FX77" s="15">
        <v>2</v>
      </c>
      <c r="FY77" s="15">
        <v>3</v>
      </c>
      <c r="FZ77" s="15">
        <v>4</v>
      </c>
      <c r="GA77" s="15">
        <v>2</v>
      </c>
      <c r="GB77" s="15">
        <v>1</v>
      </c>
      <c r="GC77" s="15">
        <v>3</v>
      </c>
      <c r="GD77" s="15">
        <v>2</v>
      </c>
      <c r="GE77" s="15">
        <v>3</v>
      </c>
      <c r="GF77" s="15">
        <v>2</v>
      </c>
      <c r="GG77" s="15">
        <v>3</v>
      </c>
      <c r="GH77" s="15">
        <v>2</v>
      </c>
      <c r="GI77" s="15">
        <v>2</v>
      </c>
      <c r="GJ77" s="15">
        <v>3</v>
      </c>
      <c r="GK77" s="15">
        <v>4</v>
      </c>
      <c r="GL77" s="15">
        <v>3</v>
      </c>
      <c r="GM77" s="15">
        <v>4</v>
      </c>
      <c r="GN77" s="15">
        <v>4</v>
      </c>
      <c r="GO77" s="15">
        <v>3</v>
      </c>
      <c r="GP77" s="15">
        <v>1</v>
      </c>
      <c r="GQ77" s="15">
        <v>2</v>
      </c>
      <c r="GR77" s="15">
        <v>4</v>
      </c>
      <c r="GS77" s="15">
        <v>5</v>
      </c>
      <c r="GT77" s="15">
        <v>3</v>
      </c>
      <c r="GU77" s="15">
        <v>4</v>
      </c>
      <c r="GV77" s="15">
        <v>2</v>
      </c>
      <c r="GW77" s="15">
        <v>3</v>
      </c>
      <c r="GX77" s="15">
        <v>2</v>
      </c>
      <c r="GY77" s="15">
        <v>3</v>
      </c>
      <c r="GZ77" s="15">
        <v>2</v>
      </c>
      <c r="HA77" s="15">
        <v>2</v>
      </c>
      <c r="HB77" s="15">
        <v>2</v>
      </c>
      <c r="HC77" s="15">
        <v>4</v>
      </c>
      <c r="HD77" s="15">
        <v>2</v>
      </c>
      <c r="HE77" s="15">
        <v>1</v>
      </c>
      <c r="HF77" s="15">
        <v>2</v>
      </c>
      <c r="HG77" s="15">
        <v>3</v>
      </c>
      <c r="HH77" s="15">
        <v>1</v>
      </c>
      <c r="HI77" s="15">
        <v>4</v>
      </c>
      <c r="HJ77" s="15">
        <v>2</v>
      </c>
      <c r="HK77" s="15">
        <v>2</v>
      </c>
      <c r="HL77" s="15">
        <v>2</v>
      </c>
      <c r="HM77" s="15">
        <v>3</v>
      </c>
      <c r="HN77" s="15">
        <v>1</v>
      </c>
      <c r="HO77" s="15">
        <v>2</v>
      </c>
      <c r="HP77" s="15">
        <v>4</v>
      </c>
      <c r="HQ77" s="15">
        <v>4</v>
      </c>
      <c r="HR77" s="15">
        <v>1</v>
      </c>
      <c r="HS77" s="15">
        <v>3</v>
      </c>
      <c r="HT77" s="15">
        <v>2</v>
      </c>
      <c r="HU77" s="15">
        <v>1</v>
      </c>
      <c r="HV77" s="15">
        <v>3</v>
      </c>
      <c r="HW77" s="15">
        <v>3.25</v>
      </c>
      <c r="HX77" s="15">
        <v>3</v>
      </c>
      <c r="HY77" s="15">
        <v>3.25</v>
      </c>
      <c r="HZ77" s="15">
        <v>3.25</v>
      </c>
      <c r="IA77" s="15">
        <v>2.25</v>
      </c>
      <c r="IB77" s="15">
        <v>2.5</v>
      </c>
      <c r="IC77" s="15">
        <v>4.25</v>
      </c>
      <c r="ID77" s="15">
        <v>4.5</v>
      </c>
      <c r="IE77" s="15">
        <v>2.5</v>
      </c>
      <c r="IF77" s="15">
        <v>3.5</v>
      </c>
      <c r="IG77" s="15">
        <v>3.75</v>
      </c>
      <c r="IH77" s="15">
        <v>4</v>
      </c>
      <c r="II77" s="15">
        <v>3</v>
      </c>
      <c r="IJ77" s="15">
        <v>3</v>
      </c>
      <c r="IK77" s="15">
        <v>3.5</v>
      </c>
      <c r="IL77" s="15">
        <v>2.25</v>
      </c>
      <c r="IM77" s="15">
        <v>3.25</v>
      </c>
      <c r="IN77" s="15">
        <v>3.25</v>
      </c>
      <c r="IO77" s="15">
        <v>4</v>
      </c>
      <c r="IP77" s="15">
        <v>4.5</v>
      </c>
      <c r="IQ77" s="15">
        <v>4.25</v>
      </c>
      <c r="IR77" s="15">
        <v>4</v>
      </c>
      <c r="IS77" s="15">
        <v>3.5</v>
      </c>
      <c r="IT77" s="15">
        <v>4</v>
      </c>
      <c r="IU77" s="15">
        <v>4</v>
      </c>
      <c r="IV77" s="15">
        <v>3.25</v>
      </c>
      <c r="IW77" s="15">
        <v>4.5</v>
      </c>
      <c r="IX77" s="15">
        <v>3.75</v>
      </c>
      <c r="IY77" s="15">
        <v>3</v>
      </c>
      <c r="IZ77" s="15">
        <v>4.75</v>
      </c>
    </row>
    <row r="78" spans="1:260" s="12" customFormat="1" x14ac:dyDescent="0.3">
      <c r="A78" s="15">
        <v>81</v>
      </c>
      <c r="B78" s="15" t="s">
        <v>469</v>
      </c>
      <c r="C78" s="16">
        <v>21</v>
      </c>
      <c r="D78" s="15" t="s">
        <v>288</v>
      </c>
      <c r="E78" s="15" t="s">
        <v>259</v>
      </c>
      <c r="F78" s="15" t="s">
        <v>260</v>
      </c>
      <c r="G78" s="15" t="s">
        <v>268</v>
      </c>
      <c r="H78" s="15" t="s">
        <v>269</v>
      </c>
      <c r="I78" s="15" t="s">
        <v>280</v>
      </c>
      <c r="J78" s="15" t="s">
        <v>313</v>
      </c>
      <c r="K78" s="15" t="s">
        <v>265</v>
      </c>
      <c r="L78" s="15" t="s">
        <v>281</v>
      </c>
      <c r="M78" s="15" t="s">
        <v>293</v>
      </c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>
        <v>0</v>
      </c>
      <c r="AE78" s="15">
        <f>2/2</f>
        <v>1</v>
      </c>
      <c r="AF78" s="15">
        <f>5992.301/1000</f>
        <v>5.9923010000000003</v>
      </c>
      <c r="AG78" s="15">
        <v>0</v>
      </c>
      <c r="AH78" s="15">
        <v>0</v>
      </c>
      <c r="AI78" s="15"/>
      <c r="AJ78" s="15"/>
      <c r="AK78" s="15">
        <v>1</v>
      </c>
      <c r="AL78" s="15">
        <f>3/8</f>
        <v>0.375</v>
      </c>
      <c r="AM78" s="15">
        <f>42982.48/1000</f>
        <v>42.982480000000002</v>
      </c>
      <c r="AN78" s="15">
        <f>1.1 + 0.07</f>
        <v>1.1700000000000002</v>
      </c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>
        <v>0</v>
      </c>
      <c r="BA78" s="15">
        <f t="shared" si="24"/>
        <v>1</v>
      </c>
      <c r="BB78" s="15">
        <f>48749.82/1000</f>
        <v>48.74982</v>
      </c>
      <c r="BC78" s="15">
        <v>0</v>
      </c>
      <c r="BD78" s="15">
        <v>1</v>
      </c>
      <c r="BE78" s="15">
        <v>0</v>
      </c>
      <c r="BF78" s="15">
        <f>5/5</f>
        <v>1</v>
      </c>
      <c r="BG78" s="15"/>
      <c r="BH78" s="15"/>
      <c r="BI78" s="15"/>
      <c r="BJ78" s="15"/>
      <c r="BK78" s="15">
        <v>0</v>
      </c>
      <c r="BL78" s="15">
        <f t="shared" si="25"/>
        <v>1</v>
      </c>
      <c r="BM78" s="15">
        <f>11650.51/1000</f>
        <v>11.650510000000001</v>
      </c>
      <c r="BN78" s="15">
        <f>0</f>
        <v>0</v>
      </c>
      <c r="BO78" s="15"/>
      <c r="BP78" s="15"/>
      <c r="BQ78" s="15"/>
      <c r="BR78" s="15"/>
      <c r="BS78" s="15">
        <v>0</v>
      </c>
      <c r="BT78" s="15">
        <f t="shared" si="23"/>
        <v>1</v>
      </c>
      <c r="BU78" s="15">
        <f>9885.894/1000</f>
        <v>9.8858940000000004</v>
      </c>
      <c r="BV78" s="15">
        <v>0</v>
      </c>
      <c r="BW78" s="15">
        <v>0</v>
      </c>
      <c r="BX78" s="15"/>
      <c r="BY78" s="15"/>
      <c r="BZ78" s="15"/>
      <c r="CA78" s="15"/>
      <c r="CB78" s="15"/>
      <c r="CC78" s="15"/>
      <c r="CD78" s="15">
        <v>0</v>
      </c>
      <c r="CE78" s="15">
        <f>2/2</f>
        <v>1</v>
      </c>
      <c r="CF78" s="15">
        <f>AVERAGE(15329.61,13621.03)/1000</f>
        <v>14.47532</v>
      </c>
      <c r="CG78" s="15">
        <f>0.065+0.0025</f>
        <v>6.7500000000000004E-2</v>
      </c>
      <c r="CH78" s="15">
        <v>1</v>
      </c>
      <c r="CI78" s="15">
        <v>1</v>
      </c>
      <c r="CJ78" s="15">
        <f>2/6</f>
        <v>0.33333333333333331</v>
      </c>
      <c r="CK78" s="15">
        <f t="shared" si="22"/>
        <v>133.73632500000002</v>
      </c>
      <c r="CL78" s="15">
        <f>1/8</f>
        <v>0.125</v>
      </c>
      <c r="CM78" s="15">
        <v>0</v>
      </c>
      <c r="CN78" s="15">
        <v>2</v>
      </c>
      <c r="CO78" s="15">
        <f>Table1[[#This Row],[TotalTrapsRisked]]/5</f>
        <v>0.4</v>
      </c>
      <c r="CP78" s="15">
        <v>0</v>
      </c>
      <c r="CQ78" s="15">
        <v>0</v>
      </c>
      <c r="CR78" s="15">
        <v>8.3333333333333329E-2</v>
      </c>
      <c r="CS78" s="15">
        <v>0.3</v>
      </c>
      <c r="CT78" s="15">
        <v>0</v>
      </c>
      <c r="CU78" s="15">
        <v>233</v>
      </c>
      <c r="CV78" s="15">
        <v>330</v>
      </c>
      <c r="CW78" s="15">
        <v>0</v>
      </c>
      <c r="CX78" s="15"/>
      <c r="CY78" s="15"/>
      <c r="CZ78" s="15"/>
      <c r="DA78" s="15"/>
      <c r="DB78" s="15"/>
      <c r="DC78" s="15"/>
      <c r="DD78" s="15">
        <v>0</v>
      </c>
      <c r="DE78" s="15">
        <v>0</v>
      </c>
      <c r="DF78" s="15">
        <v>5</v>
      </c>
      <c r="DG78" s="15">
        <v>3</v>
      </c>
      <c r="DH78" s="15">
        <v>4</v>
      </c>
      <c r="DI78" s="15">
        <v>4</v>
      </c>
      <c r="DJ78" s="15">
        <v>4</v>
      </c>
      <c r="DK78" s="15">
        <v>1</v>
      </c>
      <c r="DL78" s="15">
        <v>5</v>
      </c>
      <c r="DM78" s="15">
        <v>4</v>
      </c>
      <c r="DN78" s="15">
        <v>1</v>
      </c>
      <c r="DO78" s="15">
        <v>4</v>
      </c>
      <c r="DP78" s="15">
        <v>4</v>
      </c>
      <c r="DQ78" s="15">
        <v>4</v>
      </c>
      <c r="DR78" s="15">
        <v>4</v>
      </c>
      <c r="DS78" s="15">
        <v>4</v>
      </c>
      <c r="DT78" s="15">
        <v>4</v>
      </c>
      <c r="DU78" s="15">
        <v>3</v>
      </c>
      <c r="DV78" s="15">
        <v>2</v>
      </c>
      <c r="DW78" s="15">
        <v>2</v>
      </c>
      <c r="DX78" s="15">
        <v>2</v>
      </c>
      <c r="DY78" s="15">
        <v>4</v>
      </c>
      <c r="DZ78" s="15">
        <v>3</v>
      </c>
      <c r="EA78" s="15">
        <v>4</v>
      </c>
      <c r="EB78" s="15">
        <v>2</v>
      </c>
      <c r="EC78" s="15">
        <v>1</v>
      </c>
      <c r="ED78" s="15">
        <v>2</v>
      </c>
      <c r="EE78" s="15">
        <v>3</v>
      </c>
      <c r="EF78" s="15">
        <v>3</v>
      </c>
      <c r="EG78" s="15">
        <v>3</v>
      </c>
      <c r="EH78" s="15">
        <v>4</v>
      </c>
      <c r="EI78" s="15">
        <v>1</v>
      </c>
      <c r="EJ78" s="15">
        <v>4</v>
      </c>
      <c r="EK78" s="15">
        <v>4</v>
      </c>
      <c r="EL78" s="15">
        <v>4</v>
      </c>
      <c r="EM78" s="15">
        <v>4</v>
      </c>
      <c r="EN78" s="15">
        <v>2</v>
      </c>
      <c r="EO78" s="15">
        <v>2</v>
      </c>
      <c r="EP78" s="15">
        <v>4</v>
      </c>
      <c r="EQ78" s="15">
        <v>2</v>
      </c>
      <c r="ER78" s="15">
        <v>2</v>
      </c>
      <c r="ES78" s="15">
        <v>4</v>
      </c>
      <c r="ET78" s="15">
        <v>3</v>
      </c>
      <c r="EU78" s="15">
        <v>2</v>
      </c>
      <c r="EV78" s="15">
        <v>5</v>
      </c>
      <c r="EW78" s="15">
        <v>4</v>
      </c>
      <c r="EX78" s="15">
        <v>4</v>
      </c>
      <c r="EY78" s="15">
        <v>3</v>
      </c>
      <c r="EZ78" s="15">
        <v>2</v>
      </c>
      <c r="FA78" s="15">
        <v>2</v>
      </c>
      <c r="FB78" s="15">
        <v>2</v>
      </c>
      <c r="FC78" s="15">
        <v>3</v>
      </c>
      <c r="FD78" s="15">
        <v>2</v>
      </c>
      <c r="FE78" s="15">
        <v>3</v>
      </c>
      <c r="FF78" s="15">
        <v>3</v>
      </c>
      <c r="FG78" s="15">
        <v>3</v>
      </c>
      <c r="FH78" s="15">
        <v>4</v>
      </c>
      <c r="FI78" s="15">
        <v>2</v>
      </c>
      <c r="FJ78" s="15">
        <v>5</v>
      </c>
      <c r="FK78" s="15">
        <v>4</v>
      </c>
      <c r="FL78" s="15">
        <v>4</v>
      </c>
      <c r="FM78" s="15">
        <v>1</v>
      </c>
      <c r="FN78" s="15">
        <v>4</v>
      </c>
      <c r="FO78" s="15">
        <v>2</v>
      </c>
      <c r="FP78" s="15">
        <v>3</v>
      </c>
      <c r="FQ78" s="15">
        <v>4</v>
      </c>
      <c r="FR78" s="15">
        <v>4</v>
      </c>
      <c r="FS78" s="15">
        <v>2</v>
      </c>
      <c r="FT78" s="15">
        <v>3</v>
      </c>
      <c r="FU78" s="15">
        <v>2</v>
      </c>
      <c r="FV78" s="15">
        <v>4</v>
      </c>
      <c r="FW78" s="15">
        <v>2</v>
      </c>
      <c r="FX78" s="15">
        <v>3</v>
      </c>
      <c r="FY78" s="15">
        <v>3</v>
      </c>
      <c r="FZ78" s="15">
        <v>2</v>
      </c>
      <c r="GA78" s="15">
        <v>2</v>
      </c>
      <c r="GB78" s="15">
        <v>1</v>
      </c>
      <c r="GC78" s="15">
        <v>3</v>
      </c>
      <c r="GD78" s="15">
        <v>3</v>
      </c>
      <c r="GE78" s="15">
        <v>3</v>
      </c>
      <c r="GF78" s="15">
        <v>2</v>
      </c>
      <c r="GG78" s="15">
        <v>2</v>
      </c>
      <c r="GH78" s="15">
        <v>2</v>
      </c>
      <c r="GI78" s="15">
        <v>2</v>
      </c>
      <c r="GJ78" s="15">
        <v>3</v>
      </c>
      <c r="GK78" s="15">
        <v>2</v>
      </c>
      <c r="GL78" s="15">
        <v>2</v>
      </c>
      <c r="GM78" s="15">
        <v>2</v>
      </c>
      <c r="GN78" s="15">
        <v>3</v>
      </c>
      <c r="GO78" s="15">
        <v>4</v>
      </c>
      <c r="GP78" s="15">
        <v>3</v>
      </c>
      <c r="GQ78" s="15">
        <v>2</v>
      </c>
      <c r="GR78" s="15">
        <v>2</v>
      </c>
      <c r="GS78" s="15">
        <v>4</v>
      </c>
      <c r="GT78" s="15">
        <v>2</v>
      </c>
      <c r="GU78" s="15">
        <v>2</v>
      </c>
      <c r="GV78" s="15">
        <v>2</v>
      </c>
      <c r="GW78" s="15">
        <v>3</v>
      </c>
      <c r="GX78" s="15">
        <v>2</v>
      </c>
      <c r="GY78" s="15">
        <v>3</v>
      </c>
      <c r="GZ78" s="15">
        <v>2</v>
      </c>
      <c r="HA78" s="15">
        <v>1</v>
      </c>
      <c r="HB78" s="15">
        <v>2</v>
      </c>
      <c r="HC78" s="15">
        <v>4</v>
      </c>
      <c r="HD78" s="15">
        <v>4</v>
      </c>
      <c r="HE78" s="15">
        <v>1</v>
      </c>
      <c r="HF78" s="15">
        <v>2</v>
      </c>
      <c r="HG78" s="15">
        <v>2</v>
      </c>
      <c r="HH78" s="15">
        <v>1</v>
      </c>
      <c r="HI78" s="15">
        <v>5</v>
      </c>
      <c r="HJ78" s="15">
        <v>2</v>
      </c>
      <c r="HK78" s="15">
        <v>2</v>
      </c>
      <c r="HL78" s="15">
        <v>2</v>
      </c>
      <c r="HM78" s="15">
        <v>2</v>
      </c>
      <c r="HN78" s="15">
        <v>2</v>
      </c>
      <c r="HO78" s="15">
        <v>2</v>
      </c>
      <c r="HP78" s="15">
        <v>2</v>
      </c>
      <c r="HQ78" s="15">
        <v>2</v>
      </c>
      <c r="HR78" s="15">
        <v>2</v>
      </c>
      <c r="HS78" s="15">
        <v>4</v>
      </c>
      <c r="HT78" s="15">
        <v>2</v>
      </c>
      <c r="HU78" s="15">
        <v>2</v>
      </c>
      <c r="HV78" s="15">
        <v>2</v>
      </c>
      <c r="HW78" s="15">
        <v>3.25</v>
      </c>
      <c r="HX78" s="15">
        <v>3.25</v>
      </c>
      <c r="HY78" s="15">
        <v>3.75</v>
      </c>
      <c r="HZ78" s="15">
        <v>3.75</v>
      </c>
      <c r="IA78" s="15">
        <v>3.5</v>
      </c>
      <c r="IB78" s="15">
        <v>4.5</v>
      </c>
      <c r="IC78" s="15">
        <v>4.25</v>
      </c>
      <c r="ID78" s="15">
        <v>2.25</v>
      </c>
      <c r="IE78" s="15">
        <v>3</v>
      </c>
      <c r="IF78" s="15">
        <v>3.5</v>
      </c>
      <c r="IG78" s="15">
        <v>3.75</v>
      </c>
      <c r="IH78" s="15">
        <v>3</v>
      </c>
      <c r="II78" s="15">
        <v>3.75</v>
      </c>
      <c r="IJ78" s="15">
        <v>3.75</v>
      </c>
      <c r="IK78" s="15">
        <v>2.5</v>
      </c>
      <c r="IL78" s="15">
        <v>2</v>
      </c>
      <c r="IM78" s="15">
        <v>3</v>
      </c>
      <c r="IN78" s="15">
        <v>4</v>
      </c>
      <c r="IO78" s="15">
        <v>3.25</v>
      </c>
      <c r="IP78" s="15">
        <v>3.5</v>
      </c>
      <c r="IQ78" s="15">
        <v>4.5</v>
      </c>
      <c r="IR78" s="15">
        <v>3.5</v>
      </c>
      <c r="IS78" s="15">
        <v>3.25</v>
      </c>
      <c r="IT78" s="15">
        <v>3.5</v>
      </c>
      <c r="IU78" s="15">
        <v>4</v>
      </c>
      <c r="IV78" s="15">
        <v>4.5</v>
      </c>
      <c r="IW78" s="15">
        <v>4.25</v>
      </c>
      <c r="IX78" s="15">
        <v>4</v>
      </c>
      <c r="IY78" s="15">
        <v>4</v>
      </c>
      <c r="IZ78" s="15">
        <v>4</v>
      </c>
    </row>
    <row r="79" spans="1:260" s="12" customFormat="1" x14ac:dyDescent="0.3">
      <c r="A79" s="15">
        <v>82</v>
      </c>
      <c r="B79" s="15" t="s">
        <v>469</v>
      </c>
      <c r="C79" s="16">
        <v>23</v>
      </c>
      <c r="D79" s="15" t="s">
        <v>258</v>
      </c>
      <c r="E79" s="15" t="s">
        <v>259</v>
      </c>
      <c r="F79" s="15" t="s">
        <v>260</v>
      </c>
      <c r="G79" s="15" t="s">
        <v>268</v>
      </c>
      <c r="H79" s="15" t="s">
        <v>269</v>
      </c>
      <c r="I79" s="15" t="s">
        <v>280</v>
      </c>
      <c r="J79" s="15" t="s">
        <v>280</v>
      </c>
      <c r="K79" s="15" t="s">
        <v>307</v>
      </c>
      <c r="L79" s="15" t="s">
        <v>373</v>
      </c>
      <c r="M79" s="15" t="s">
        <v>418</v>
      </c>
      <c r="N79" s="15"/>
      <c r="O79" s="15"/>
      <c r="P79" s="15"/>
      <c r="Q79" s="15"/>
      <c r="R79" s="15">
        <f>1/1</f>
        <v>1</v>
      </c>
      <c r="S79" s="15">
        <v>0</v>
      </c>
      <c r="T79" s="15">
        <f>2809.862/1000</f>
        <v>2.8098619999999999</v>
      </c>
      <c r="U79" s="15">
        <f>0</f>
        <v>0</v>
      </c>
      <c r="V79" s="15">
        <v>0</v>
      </c>
      <c r="W79" s="15">
        <v>0</v>
      </c>
      <c r="X79" s="15">
        <f>6363.398/1000</f>
        <v>6.3633980000000001</v>
      </c>
      <c r="Y79" s="15">
        <v>0</v>
      </c>
      <c r="Z79" s="15">
        <v>2</v>
      </c>
      <c r="AA79" s="15">
        <f>AVERAGE(5,5,3)/5</f>
        <v>0.86666666666666659</v>
      </c>
      <c r="AB79" s="15">
        <f>AVERAGE(4337.842,3607.033)/1000</f>
        <v>3.9724374999999998</v>
      </c>
      <c r="AC79" s="15">
        <f>1.05</f>
        <v>1.05</v>
      </c>
      <c r="AD79" s="15"/>
      <c r="AE79" s="15"/>
      <c r="AF79" s="15"/>
      <c r="AG79" s="15"/>
      <c r="AH79" s="15">
        <v>1</v>
      </c>
      <c r="AI79" s="15">
        <v>1</v>
      </c>
      <c r="AJ79" s="15">
        <f>5/5</f>
        <v>1</v>
      </c>
      <c r="AK79" s="15"/>
      <c r="AL79" s="15"/>
      <c r="AM79" s="15"/>
      <c r="AN79" s="15"/>
      <c r="AO79" s="15">
        <v>0</v>
      </c>
      <c r="AP79" s="15">
        <f t="shared" ref="AP79:AP84" si="26">3/3</f>
        <v>1</v>
      </c>
      <c r="AQ79" s="15">
        <f>10854.19/1000</f>
        <v>10.854190000000001</v>
      </c>
      <c r="AR79" s="15">
        <f>0.0375</f>
        <v>3.7499999999999999E-2</v>
      </c>
      <c r="AS79" s="15">
        <v>0</v>
      </c>
      <c r="AT79" s="15"/>
      <c r="AU79" s="15"/>
      <c r="AV79" s="15">
        <v>0</v>
      </c>
      <c r="AW79" s="15">
        <f>4/4</f>
        <v>1</v>
      </c>
      <c r="AX79" s="15">
        <f>8088.299/1000</f>
        <v>8.0882989999999992</v>
      </c>
      <c r="AY79" s="15">
        <f>0.515</f>
        <v>0.51500000000000001</v>
      </c>
      <c r="AZ79" s="15"/>
      <c r="BA79" s="15"/>
      <c r="BB79" s="15"/>
      <c r="BC79" s="15"/>
      <c r="BD79" s="15">
        <v>0</v>
      </c>
      <c r="BE79" s="15"/>
      <c r="BF79" s="15"/>
      <c r="BG79" s="15"/>
      <c r="BH79" s="15"/>
      <c r="BI79" s="15"/>
      <c r="BJ79" s="15"/>
      <c r="BK79" s="15">
        <v>0</v>
      </c>
      <c r="BL79" s="15">
        <f t="shared" si="25"/>
        <v>1</v>
      </c>
      <c r="BM79" s="15">
        <f>9424.237/1000</f>
        <v>9.4242369999999998</v>
      </c>
      <c r="BN79" s="15">
        <f>0</f>
        <v>0</v>
      </c>
      <c r="BO79" s="15"/>
      <c r="BP79" s="15"/>
      <c r="BQ79" s="15"/>
      <c r="BR79" s="15"/>
      <c r="BS79" s="15">
        <v>0</v>
      </c>
      <c r="BT79" s="15">
        <f t="shared" si="23"/>
        <v>1</v>
      </c>
      <c r="BU79" s="15">
        <f>7210.3/1000</f>
        <v>7.2103000000000002</v>
      </c>
      <c r="BV79" s="15">
        <f>0</f>
        <v>0</v>
      </c>
      <c r="BW79" s="15">
        <v>0</v>
      </c>
      <c r="BX79" s="15"/>
      <c r="BY79" s="15"/>
      <c r="BZ79" s="15">
        <v>2</v>
      </c>
      <c r="CA79" s="15">
        <f>AVERAGE(3,4,5)/5</f>
        <v>0.8</v>
      </c>
      <c r="CB79" s="15">
        <f>27694.79/1000</f>
        <v>27.694790000000001</v>
      </c>
      <c r="CC79" s="15">
        <f>1.05+1.3</f>
        <v>2.35</v>
      </c>
      <c r="CD79" s="15"/>
      <c r="CE79" s="15"/>
      <c r="CF79" s="15"/>
      <c r="CG79" s="15"/>
      <c r="CH79" s="15">
        <v>0</v>
      </c>
      <c r="CI79" s="15"/>
      <c r="CJ79" s="15"/>
      <c r="CK79" s="15">
        <f t="shared" si="22"/>
        <v>76.417513499999998</v>
      </c>
      <c r="CL79" s="15">
        <f>4/8</f>
        <v>0.5</v>
      </c>
      <c r="CM79" s="15">
        <v>2</v>
      </c>
      <c r="CN79" s="15">
        <v>1</v>
      </c>
      <c r="CO79" s="15">
        <f>Table1[[#This Row],[TotalTrapsRisked]]/5</f>
        <v>0.2</v>
      </c>
      <c r="CP79" s="15">
        <v>0</v>
      </c>
      <c r="CQ79" s="15">
        <v>1</v>
      </c>
      <c r="CR79" s="15">
        <v>1</v>
      </c>
      <c r="CS79" s="15">
        <v>1</v>
      </c>
      <c r="CT79" s="15">
        <v>3</v>
      </c>
      <c r="CU79" s="15">
        <v>285</v>
      </c>
      <c r="CV79" s="15">
        <v>1400</v>
      </c>
      <c r="CW79" s="15">
        <v>3</v>
      </c>
      <c r="CX79" s="15"/>
      <c r="CY79" s="15"/>
      <c r="CZ79" s="15"/>
      <c r="DA79" s="15"/>
      <c r="DB79" s="15"/>
      <c r="DC79" s="15"/>
      <c r="DD79" s="15">
        <v>0</v>
      </c>
      <c r="DE79" s="15">
        <v>0</v>
      </c>
      <c r="DF79" s="15">
        <v>5</v>
      </c>
      <c r="DG79" s="15">
        <v>3</v>
      </c>
      <c r="DH79" s="15">
        <v>4</v>
      </c>
      <c r="DI79" s="15">
        <v>4</v>
      </c>
      <c r="DJ79" s="15">
        <v>3</v>
      </c>
      <c r="DK79" s="15">
        <v>4</v>
      </c>
      <c r="DL79" s="15">
        <v>2</v>
      </c>
      <c r="DM79" s="15">
        <v>4</v>
      </c>
      <c r="DN79" s="15">
        <v>1</v>
      </c>
      <c r="DO79" s="15">
        <v>3</v>
      </c>
      <c r="DP79" s="15">
        <v>3</v>
      </c>
      <c r="DQ79" s="15">
        <v>3</v>
      </c>
      <c r="DR79" s="15">
        <v>2</v>
      </c>
      <c r="DS79" s="15">
        <v>4</v>
      </c>
      <c r="DT79" s="15">
        <v>4</v>
      </c>
      <c r="DU79" s="15">
        <v>4</v>
      </c>
      <c r="DV79" s="15">
        <v>2</v>
      </c>
      <c r="DW79" s="15">
        <v>4</v>
      </c>
      <c r="DX79" s="15">
        <v>1</v>
      </c>
      <c r="DY79" s="15">
        <v>3</v>
      </c>
      <c r="DZ79" s="15">
        <v>4</v>
      </c>
      <c r="EA79" s="15">
        <v>4</v>
      </c>
      <c r="EB79" s="15">
        <v>4</v>
      </c>
      <c r="EC79" s="15">
        <v>1</v>
      </c>
      <c r="ED79" s="15">
        <v>4</v>
      </c>
      <c r="EE79" s="15">
        <v>4</v>
      </c>
      <c r="EF79" s="15">
        <v>4</v>
      </c>
      <c r="EG79" s="15">
        <v>1</v>
      </c>
      <c r="EH79" s="15">
        <v>4</v>
      </c>
      <c r="EI79" s="15">
        <v>2</v>
      </c>
      <c r="EJ79" s="15">
        <v>4</v>
      </c>
      <c r="EK79" s="15">
        <v>4</v>
      </c>
      <c r="EL79" s="15">
        <v>5</v>
      </c>
      <c r="EM79" s="15">
        <v>4</v>
      </c>
      <c r="EN79" s="15">
        <v>1</v>
      </c>
      <c r="EO79" s="15">
        <v>2</v>
      </c>
      <c r="EP79" s="15">
        <v>2</v>
      </c>
      <c r="EQ79" s="15">
        <v>4</v>
      </c>
      <c r="ER79" s="15">
        <v>1</v>
      </c>
      <c r="ES79" s="15">
        <v>4</v>
      </c>
      <c r="ET79" s="15">
        <v>1</v>
      </c>
      <c r="EU79" s="15">
        <v>2</v>
      </c>
      <c r="EV79" s="15">
        <v>3</v>
      </c>
      <c r="EW79" s="15">
        <v>4</v>
      </c>
      <c r="EX79" s="15">
        <v>4</v>
      </c>
      <c r="EY79" s="15">
        <v>4</v>
      </c>
      <c r="EZ79" s="15">
        <v>3</v>
      </c>
      <c r="FA79" s="15">
        <v>2</v>
      </c>
      <c r="FB79" s="15">
        <v>2</v>
      </c>
      <c r="FC79" s="15">
        <v>2</v>
      </c>
      <c r="FD79" s="15">
        <v>2</v>
      </c>
      <c r="FE79" s="15">
        <v>5</v>
      </c>
      <c r="FF79" s="15">
        <v>2</v>
      </c>
      <c r="FG79" s="15">
        <v>4</v>
      </c>
      <c r="FH79" s="15">
        <v>3</v>
      </c>
      <c r="FI79" s="15">
        <v>2</v>
      </c>
      <c r="FJ79" s="15">
        <v>5</v>
      </c>
      <c r="FK79" s="15">
        <v>5</v>
      </c>
      <c r="FL79" s="15">
        <v>4</v>
      </c>
      <c r="FM79" s="15">
        <v>2</v>
      </c>
      <c r="FN79" s="15">
        <v>4</v>
      </c>
      <c r="FO79" s="15">
        <v>3</v>
      </c>
      <c r="FP79" s="15">
        <v>5</v>
      </c>
      <c r="FQ79" s="15">
        <v>3</v>
      </c>
      <c r="FR79" s="15">
        <v>2</v>
      </c>
      <c r="FS79" s="15">
        <v>2</v>
      </c>
      <c r="FT79" s="15">
        <v>2</v>
      </c>
      <c r="FU79" s="15">
        <v>3</v>
      </c>
      <c r="FV79" s="15">
        <v>2</v>
      </c>
      <c r="FW79" s="15">
        <v>2</v>
      </c>
      <c r="FX79" s="15">
        <v>2</v>
      </c>
      <c r="FY79" s="15">
        <v>2</v>
      </c>
      <c r="FZ79" s="15">
        <v>2</v>
      </c>
      <c r="GA79" s="15">
        <v>4</v>
      </c>
      <c r="GB79" s="15">
        <v>2</v>
      </c>
      <c r="GC79" s="15">
        <v>2</v>
      </c>
      <c r="GD79" s="15">
        <v>4</v>
      </c>
      <c r="GE79" s="15">
        <v>4</v>
      </c>
      <c r="GF79" s="15">
        <v>2</v>
      </c>
      <c r="GG79" s="15">
        <v>1</v>
      </c>
      <c r="GH79" s="15">
        <v>3</v>
      </c>
      <c r="GI79" s="15">
        <v>4</v>
      </c>
      <c r="GJ79" s="15">
        <v>5</v>
      </c>
      <c r="GK79" s="15">
        <v>4</v>
      </c>
      <c r="GL79" s="15">
        <v>4</v>
      </c>
      <c r="GM79" s="15">
        <v>2</v>
      </c>
      <c r="GN79" s="15">
        <v>3</v>
      </c>
      <c r="GO79" s="15">
        <v>5</v>
      </c>
      <c r="GP79" s="15">
        <v>1</v>
      </c>
      <c r="GQ79" s="15">
        <v>1</v>
      </c>
      <c r="GR79" s="15">
        <v>2</v>
      </c>
      <c r="GS79" s="15">
        <v>4</v>
      </c>
      <c r="GT79" s="15">
        <v>2</v>
      </c>
      <c r="GU79" s="15">
        <v>4</v>
      </c>
      <c r="GV79" s="15">
        <v>4</v>
      </c>
      <c r="GW79" s="15">
        <v>3</v>
      </c>
      <c r="GX79" s="15">
        <v>4</v>
      </c>
      <c r="GY79" s="15">
        <v>3</v>
      </c>
      <c r="GZ79" s="15">
        <v>2</v>
      </c>
      <c r="HA79" s="15">
        <v>2</v>
      </c>
      <c r="HB79" s="15">
        <v>2</v>
      </c>
      <c r="HC79" s="15">
        <v>4</v>
      </c>
      <c r="HD79" s="15">
        <v>4</v>
      </c>
      <c r="HE79" s="15">
        <v>2</v>
      </c>
      <c r="HF79" s="15">
        <v>2</v>
      </c>
      <c r="HG79" s="15">
        <v>2</v>
      </c>
      <c r="HH79" s="15">
        <v>3</v>
      </c>
      <c r="HI79" s="15">
        <v>5</v>
      </c>
      <c r="HJ79" s="15">
        <v>4</v>
      </c>
      <c r="HK79" s="15">
        <v>2</v>
      </c>
      <c r="HL79" s="15">
        <v>3</v>
      </c>
      <c r="HM79" s="15">
        <v>4</v>
      </c>
      <c r="HN79" s="15">
        <v>1</v>
      </c>
      <c r="HO79" s="15">
        <v>2</v>
      </c>
      <c r="HP79" s="15">
        <v>2</v>
      </c>
      <c r="HQ79" s="15">
        <v>4</v>
      </c>
      <c r="HR79" s="15">
        <v>3</v>
      </c>
      <c r="HS79" s="15">
        <v>4</v>
      </c>
      <c r="HT79" s="15">
        <v>3</v>
      </c>
      <c r="HU79" s="15">
        <v>2</v>
      </c>
      <c r="HV79" s="15">
        <v>2</v>
      </c>
      <c r="HW79" s="15">
        <v>2.25</v>
      </c>
      <c r="HX79" s="15">
        <v>3.25</v>
      </c>
      <c r="HY79" s="15">
        <v>4</v>
      </c>
      <c r="HZ79" s="15">
        <v>2.75</v>
      </c>
      <c r="IA79" s="15">
        <v>3.25</v>
      </c>
      <c r="IB79" s="15">
        <v>4</v>
      </c>
      <c r="IC79" s="15">
        <v>4.25</v>
      </c>
      <c r="ID79" s="15">
        <v>2.5</v>
      </c>
      <c r="IE79" s="15">
        <v>2</v>
      </c>
      <c r="IF79" s="15">
        <v>3.75</v>
      </c>
      <c r="IG79" s="15">
        <v>3</v>
      </c>
      <c r="IH79" s="15">
        <v>3</v>
      </c>
      <c r="II79" s="15">
        <v>3.5</v>
      </c>
      <c r="IJ79" s="15">
        <v>2.75</v>
      </c>
      <c r="IK79" s="15">
        <v>2.25</v>
      </c>
      <c r="IL79" s="15">
        <v>2.5</v>
      </c>
      <c r="IM79" s="15">
        <v>3.75</v>
      </c>
      <c r="IN79" s="15">
        <v>4.5</v>
      </c>
      <c r="IO79" s="15">
        <v>4.5</v>
      </c>
      <c r="IP79" s="15">
        <v>3.75</v>
      </c>
      <c r="IQ79" s="15">
        <v>2.75</v>
      </c>
      <c r="IR79" s="15">
        <v>3.5</v>
      </c>
      <c r="IS79" s="15">
        <v>3.5</v>
      </c>
      <c r="IT79" s="15">
        <v>3.5</v>
      </c>
      <c r="IU79" s="15">
        <v>3.25</v>
      </c>
      <c r="IV79" s="15">
        <v>4.5</v>
      </c>
      <c r="IW79" s="15">
        <v>4</v>
      </c>
      <c r="IX79" s="15">
        <v>4.5</v>
      </c>
      <c r="IY79" s="15">
        <v>3.25</v>
      </c>
      <c r="IZ79" s="15">
        <v>4.25</v>
      </c>
    </row>
    <row r="80" spans="1:260" s="12" customFormat="1" x14ac:dyDescent="0.3">
      <c r="A80" s="15">
        <v>83</v>
      </c>
      <c r="B80" s="15" t="s">
        <v>469</v>
      </c>
      <c r="C80" s="16">
        <v>22</v>
      </c>
      <c r="D80" s="15" t="s">
        <v>288</v>
      </c>
      <c r="E80" s="15" t="s">
        <v>259</v>
      </c>
      <c r="F80" s="15" t="s">
        <v>260</v>
      </c>
      <c r="G80" s="15" t="s">
        <v>268</v>
      </c>
      <c r="H80" s="15" t="s">
        <v>269</v>
      </c>
      <c r="I80" s="15" t="s">
        <v>280</v>
      </c>
      <c r="J80" s="15" t="s">
        <v>419</v>
      </c>
      <c r="K80" s="15" t="s">
        <v>328</v>
      </c>
      <c r="L80" s="15" t="s">
        <v>295</v>
      </c>
      <c r="M80" s="15" t="s">
        <v>420</v>
      </c>
      <c r="N80" s="15"/>
      <c r="O80" s="15"/>
      <c r="P80" s="15"/>
      <c r="Q80" s="15"/>
      <c r="R80" s="15"/>
      <c r="S80" s="15"/>
      <c r="T80" s="15"/>
      <c r="U80" s="15"/>
      <c r="V80" s="15">
        <v>2</v>
      </c>
      <c r="W80" s="15">
        <f>8/8</f>
        <v>1</v>
      </c>
      <c r="X80" s="15"/>
      <c r="Y80" s="15">
        <f>1.0025+1.1</f>
        <v>2.1025</v>
      </c>
      <c r="Z80" s="15"/>
      <c r="AA80" s="15"/>
      <c r="AB80" s="15"/>
      <c r="AC80" s="15"/>
      <c r="AD80" s="15">
        <v>0</v>
      </c>
      <c r="AE80" s="15">
        <f t="shared" ref="AE80:AE94" si="27">2/2</f>
        <v>1</v>
      </c>
      <c r="AF80" s="15">
        <f>36008.74/1000</f>
        <v>36.008739999999996</v>
      </c>
      <c r="AG80" s="15">
        <v>0</v>
      </c>
      <c r="AH80" s="15">
        <v>1</v>
      </c>
      <c r="AI80" s="15">
        <v>0</v>
      </c>
      <c r="AJ80" s="15">
        <f>5/5</f>
        <v>1</v>
      </c>
      <c r="AK80" s="15">
        <v>4</v>
      </c>
      <c r="AL80" s="15">
        <f>AVERAGE(2,2,0,5)/8</f>
        <v>0.28125</v>
      </c>
      <c r="AM80" s="15">
        <v>-1</v>
      </c>
      <c r="AN80" s="15">
        <f>1.1*3+1.15</f>
        <v>4.45</v>
      </c>
      <c r="AO80" s="15">
        <v>0</v>
      </c>
      <c r="AP80" s="15">
        <f t="shared" si="26"/>
        <v>1</v>
      </c>
      <c r="AQ80" s="15">
        <f>7751.338/1000</f>
        <v>7.7513379999999996</v>
      </c>
      <c r="AR80" s="15">
        <f>0.1075</f>
        <v>0.1075</v>
      </c>
      <c r="AS80" s="15">
        <v>0</v>
      </c>
      <c r="AT80" s="15"/>
      <c r="AU80" s="15"/>
      <c r="AV80" s="15"/>
      <c r="AW80" s="15"/>
      <c r="AX80" s="15"/>
      <c r="AY80" s="15"/>
      <c r="AZ80" s="15">
        <v>0</v>
      </c>
      <c r="BA80" s="15">
        <f t="shared" ref="BA80:BA100" si="28">2/2</f>
        <v>1</v>
      </c>
      <c r="BB80" s="15">
        <f>7935.318/1000</f>
        <v>7.9353180000000005</v>
      </c>
      <c r="BC80" s="15">
        <f>0</f>
        <v>0</v>
      </c>
      <c r="BD80" s="15">
        <v>0</v>
      </c>
      <c r="BE80" s="15"/>
      <c r="BF80" s="15"/>
      <c r="BG80" s="15">
        <v>1</v>
      </c>
      <c r="BH80" s="15">
        <f>2/5</f>
        <v>0.4</v>
      </c>
      <c r="BI80" s="15"/>
      <c r="BJ80" s="15">
        <f>1.05</f>
        <v>1.05</v>
      </c>
      <c r="BK80" s="15">
        <v>0</v>
      </c>
      <c r="BL80" s="15">
        <f t="shared" si="25"/>
        <v>1</v>
      </c>
      <c r="BM80" s="15">
        <f>9836.042/1000</f>
        <v>9.8360419999999991</v>
      </c>
      <c r="BN80" s="15">
        <v>0</v>
      </c>
      <c r="BO80" s="15"/>
      <c r="BP80" s="15"/>
      <c r="BQ80" s="15"/>
      <c r="BR80" s="15"/>
      <c r="BS80" s="15">
        <v>0</v>
      </c>
      <c r="BT80" s="15">
        <f t="shared" si="23"/>
        <v>1</v>
      </c>
      <c r="BU80" s="15">
        <f>9616.64/1000</f>
        <v>9.6166400000000003</v>
      </c>
      <c r="BV80" s="15">
        <f>0</f>
        <v>0</v>
      </c>
      <c r="BW80" s="15">
        <v>0</v>
      </c>
      <c r="BX80" s="15"/>
      <c r="BY80" s="15"/>
      <c r="BZ80" s="15"/>
      <c r="CA80" s="15"/>
      <c r="CB80" s="15"/>
      <c r="CC80" s="15"/>
      <c r="CD80" s="15">
        <v>0</v>
      </c>
      <c r="CE80" s="15">
        <f>2/2</f>
        <v>1</v>
      </c>
      <c r="CF80" s="15">
        <f>43299.32/1000</f>
        <v>43.299320000000002</v>
      </c>
      <c r="CG80" s="15">
        <f>0.0225</f>
        <v>2.2499999999999999E-2</v>
      </c>
      <c r="CH80" s="15">
        <v>1</v>
      </c>
      <c r="CI80" s="15">
        <v>0</v>
      </c>
      <c r="CJ80" s="15">
        <f>6/6</f>
        <v>1</v>
      </c>
      <c r="CK80" s="15">
        <f t="shared" si="22"/>
        <v>113.44739799999999</v>
      </c>
      <c r="CL80" s="15">
        <f>3/8</f>
        <v>0.375</v>
      </c>
      <c r="CM80" s="15">
        <v>1</v>
      </c>
      <c r="CN80" s="15">
        <v>2</v>
      </c>
      <c r="CO80" s="15">
        <f>Table1[[#This Row],[TotalTrapsRisked]]/5</f>
        <v>0.4</v>
      </c>
      <c r="CP80" s="15">
        <v>0</v>
      </c>
      <c r="CQ80" s="15">
        <v>0</v>
      </c>
      <c r="CR80" s="15">
        <v>0.625</v>
      </c>
      <c r="CS80" s="15">
        <v>0.83636363636363631</v>
      </c>
      <c r="CT80" s="15">
        <v>1</v>
      </c>
      <c r="CU80" s="15">
        <v>435</v>
      </c>
      <c r="CV80" s="15">
        <v>918</v>
      </c>
      <c r="CW80" s="15">
        <v>1</v>
      </c>
      <c r="CX80" s="15"/>
      <c r="CY80" s="15"/>
      <c r="CZ80" s="15"/>
      <c r="DA80" s="15"/>
      <c r="DB80" s="15"/>
      <c r="DC80" s="15"/>
      <c r="DD80" s="15">
        <v>0</v>
      </c>
      <c r="DE80" s="15">
        <v>0</v>
      </c>
      <c r="DF80" s="15">
        <v>5</v>
      </c>
      <c r="DG80" s="15">
        <v>2</v>
      </c>
      <c r="DH80" s="15">
        <v>3</v>
      </c>
      <c r="DI80" s="15">
        <v>5</v>
      </c>
      <c r="DJ80" s="15">
        <v>3</v>
      </c>
      <c r="DK80" s="15">
        <v>3</v>
      </c>
      <c r="DL80" s="15">
        <v>1</v>
      </c>
      <c r="DM80" s="15">
        <v>3</v>
      </c>
      <c r="DN80" s="15">
        <v>1</v>
      </c>
      <c r="DO80" s="15">
        <v>5</v>
      </c>
      <c r="DP80" s="15">
        <v>3</v>
      </c>
      <c r="DQ80" s="15">
        <v>3</v>
      </c>
      <c r="DR80" s="15">
        <v>4</v>
      </c>
      <c r="DS80" s="15">
        <v>5</v>
      </c>
      <c r="DT80" s="15">
        <v>4</v>
      </c>
      <c r="DU80" s="15">
        <v>4</v>
      </c>
      <c r="DV80" s="15">
        <v>3</v>
      </c>
      <c r="DW80" s="15">
        <v>3</v>
      </c>
      <c r="DX80" s="15">
        <v>1</v>
      </c>
      <c r="DY80" s="15">
        <v>4</v>
      </c>
      <c r="DZ80" s="15">
        <v>3</v>
      </c>
      <c r="EA80" s="15">
        <v>3</v>
      </c>
      <c r="EB80" s="15">
        <v>2</v>
      </c>
      <c r="EC80" s="15">
        <v>1</v>
      </c>
      <c r="ED80" s="15">
        <v>2</v>
      </c>
      <c r="EE80" s="15">
        <v>5</v>
      </c>
      <c r="EF80" s="15">
        <v>3</v>
      </c>
      <c r="EG80" s="15">
        <v>3</v>
      </c>
      <c r="EH80" s="15">
        <v>4</v>
      </c>
      <c r="EI80" s="15">
        <v>3</v>
      </c>
      <c r="EJ80" s="15">
        <v>5</v>
      </c>
      <c r="EK80" s="15">
        <v>4</v>
      </c>
      <c r="EL80" s="15">
        <v>4</v>
      </c>
      <c r="EM80" s="15">
        <v>5</v>
      </c>
      <c r="EN80" s="15">
        <v>4</v>
      </c>
      <c r="EO80" s="15">
        <v>3</v>
      </c>
      <c r="EP80" s="15">
        <v>1</v>
      </c>
      <c r="EQ80" s="15">
        <v>2</v>
      </c>
      <c r="ER80" s="15">
        <v>1</v>
      </c>
      <c r="ES80" s="15">
        <v>2</v>
      </c>
      <c r="ET80" s="15">
        <v>3</v>
      </c>
      <c r="EU80" s="15">
        <v>1</v>
      </c>
      <c r="EV80" s="15">
        <v>2</v>
      </c>
      <c r="EW80" s="15">
        <v>4</v>
      </c>
      <c r="EX80" s="15">
        <v>4</v>
      </c>
      <c r="EY80" s="15">
        <v>5</v>
      </c>
      <c r="EZ80" s="15">
        <v>3</v>
      </c>
      <c r="FA80" s="15">
        <v>5</v>
      </c>
      <c r="FB80" s="15">
        <v>3</v>
      </c>
      <c r="FC80" s="15">
        <v>4</v>
      </c>
      <c r="FD80" s="15">
        <v>3</v>
      </c>
      <c r="FE80" s="15">
        <v>2</v>
      </c>
      <c r="FF80" s="15">
        <v>4</v>
      </c>
      <c r="FG80" s="15">
        <v>2</v>
      </c>
      <c r="FH80" s="15">
        <v>4</v>
      </c>
      <c r="FI80" s="15">
        <v>3</v>
      </c>
      <c r="FJ80" s="15">
        <v>3</v>
      </c>
      <c r="FK80" s="15">
        <v>2</v>
      </c>
      <c r="FL80" s="15">
        <v>4</v>
      </c>
      <c r="FM80" s="15">
        <v>3</v>
      </c>
      <c r="FN80" s="15">
        <v>4</v>
      </c>
      <c r="FO80" s="15">
        <v>4</v>
      </c>
      <c r="FP80" s="15">
        <v>5</v>
      </c>
      <c r="FQ80" s="15">
        <v>4</v>
      </c>
      <c r="FR80" s="15">
        <v>2</v>
      </c>
      <c r="FS80" s="15">
        <v>3</v>
      </c>
      <c r="FT80" s="15">
        <v>4</v>
      </c>
      <c r="FU80" s="15">
        <v>2</v>
      </c>
      <c r="FV80" s="15">
        <v>4</v>
      </c>
      <c r="FW80" s="15">
        <v>1</v>
      </c>
      <c r="FX80" s="15">
        <v>1</v>
      </c>
      <c r="FY80" s="15">
        <v>3</v>
      </c>
      <c r="FZ80" s="15">
        <v>1</v>
      </c>
      <c r="GA80" s="15">
        <v>5</v>
      </c>
      <c r="GB80" s="15">
        <v>2</v>
      </c>
      <c r="GC80" s="15">
        <v>1</v>
      </c>
      <c r="GD80" s="15">
        <v>5</v>
      </c>
      <c r="GE80" s="15">
        <v>2</v>
      </c>
      <c r="GF80" s="15">
        <v>3</v>
      </c>
      <c r="GG80" s="15">
        <v>2</v>
      </c>
      <c r="GH80" s="15">
        <v>1</v>
      </c>
      <c r="GI80" s="15">
        <v>5</v>
      </c>
      <c r="GJ80" s="15">
        <v>2</v>
      </c>
      <c r="GK80" s="15">
        <v>4</v>
      </c>
      <c r="GL80" s="15">
        <v>1</v>
      </c>
      <c r="GM80" s="15">
        <v>3</v>
      </c>
      <c r="GN80" s="15">
        <v>4</v>
      </c>
      <c r="GO80" s="15">
        <v>3</v>
      </c>
      <c r="GP80" s="15">
        <v>1</v>
      </c>
      <c r="GQ80" s="15">
        <v>3</v>
      </c>
      <c r="GR80" s="15">
        <v>2</v>
      </c>
      <c r="GS80" s="15">
        <v>3</v>
      </c>
      <c r="GT80" s="15">
        <v>3</v>
      </c>
      <c r="GU80" s="15">
        <v>4</v>
      </c>
      <c r="GV80" s="15">
        <v>4</v>
      </c>
      <c r="GW80" s="15">
        <v>2</v>
      </c>
      <c r="GX80" s="15">
        <v>3</v>
      </c>
      <c r="GY80" s="15">
        <v>5</v>
      </c>
      <c r="GZ80" s="15">
        <v>2</v>
      </c>
      <c r="HA80" s="15">
        <v>5</v>
      </c>
      <c r="HB80" s="15">
        <v>1</v>
      </c>
      <c r="HC80" s="15">
        <v>5</v>
      </c>
      <c r="HD80" s="15">
        <v>4</v>
      </c>
      <c r="HE80" s="15">
        <v>1</v>
      </c>
      <c r="HF80" s="15">
        <v>2</v>
      </c>
      <c r="HG80" s="15">
        <v>2</v>
      </c>
      <c r="HH80" s="15">
        <v>2</v>
      </c>
      <c r="HI80" s="15">
        <v>5</v>
      </c>
      <c r="HJ80" s="15">
        <v>3</v>
      </c>
      <c r="HK80" s="15">
        <v>1</v>
      </c>
      <c r="HL80" s="15">
        <v>1</v>
      </c>
      <c r="HM80" s="15">
        <v>5</v>
      </c>
      <c r="HN80" s="15">
        <v>1</v>
      </c>
      <c r="HO80" s="15">
        <v>5</v>
      </c>
      <c r="HP80" s="15">
        <v>1</v>
      </c>
      <c r="HQ80" s="15">
        <v>3</v>
      </c>
      <c r="HR80" s="15">
        <v>2</v>
      </c>
      <c r="HS80" s="15">
        <v>3</v>
      </c>
      <c r="HT80" s="15">
        <v>3</v>
      </c>
      <c r="HU80" s="15">
        <v>4</v>
      </c>
      <c r="HV80" s="15">
        <v>1</v>
      </c>
      <c r="HW80" s="15">
        <v>2.75</v>
      </c>
      <c r="HX80" s="15">
        <v>4.75</v>
      </c>
      <c r="HY80" s="15">
        <v>4.25</v>
      </c>
      <c r="HZ80" s="15">
        <v>4.5</v>
      </c>
      <c r="IA80" s="15">
        <v>3</v>
      </c>
      <c r="IB80" s="15">
        <v>3.75</v>
      </c>
      <c r="IC80" s="15">
        <v>4.25</v>
      </c>
      <c r="ID80" s="15">
        <v>3</v>
      </c>
      <c r="IE80" s="15">
        <v>2.5</v>
      </c>
      <c r="IF80" s="15">
        <v>4.5</v>
      </c>
      <c r="IG80" s="15">
        <v>2</v>
      </c>
      <c r="IH80" s="15">
        <v>4</v>
      </c>
      <c r="II80" s="15">
        <v>2.75</v>
      </c>
      <c r="IJ80" s="15">
        <v>1.25</v>
      </c>
      <c r="IK80" s="15">
        <v>1.75</v>
      </c>
      <c r="IL80" s="15">
        <v>2.25</v>
      </c>
      <c r="IM80" s="15">
        <v>2</v>
      </c>
      <c r="IN80" s="15">
        <v>3</v>
      </c>
      <c r="IO80" s="15">
        <v>4</v>
      </c>
      <c r="IP80" s="15">
        <v>3.25</v>
      </c>
      <c r="IQ80" s="15">
        <v>3</v>
      </c>
      <c r="IR80" s="15">
        <v>2.5</v>
      </c>
      <c r="IS80" s="15">
        <v>1.75</v>
      </c>
      <c r="IT80" s="15">
        <v>3.25</v>
      </c>
      <c r="IU80" s="15">
        <v>4</v>
      </c>
      <c r="IV80" s="15">
        <v>4</v>
      </c>
      <c r="IW80" s="15">
        <v>4.25</v>
      </c>
      <c r="IX80" s="15">
        <v>4.25</v>
      </c>
      <c r="IY80" s="15">
        <v>4.75</v>
      </c>
      <c r="IZ80" s="15">
        <v>3.25</v>
      </c>
    </row>
    <row r="81" spans="1:260" s="12" customFormat="1" x14ac:dyDescent="0.3">
      <c r="A81" s="15">
        <v>84</v>
      </c>
      <c r="B81" s="15" t="s">
        <v>467</v>
      </c>
      <c r="C81" s="16">
        <v>23</v>
      </c>
      <c r="D81" s="15" t="s">
        <v>288</v>
      </c>
      <c r="E81" s="15" t="s">
        <v>259</v>
      </c>
      <c r="F81" s="15" t="s">
        <v>260</v>
      </c>
      <c r="G81" s="15" t="s">
        <v>283</v>
      </c>
      <c r="H81" s="15" t="s">
        <v>269</v>
      </c>
      <c r="I81" s="15" t="s">
        <v>280</v>
      </c>
      <c r="J81" s="15" t="s">
        <v>313</v>
      </c>
      <c r="K81" s="15" t="s">
        <v>272</v>
      </c>
      <c r="L81" s="15" t="s">
        <v>343</v>
      </c>
      <c r="M81" s="15" t="s">
        <v>421</v>
      </c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>
        <v>1</v>
      </c>
      <c r="AA81" s="15">
        <f>1/5</f>
        <v>0.2</v>
      </c>
      <c r="AB81" s="15"/>
      <c r="AC81" s="15">
        <f>1.05</f>
        <v>1.05</v>
      </c>
      <c r="AD81" s="15">
        <v>0</v>
      </c>
      <c r="AE81" s="15">
        <f t="shared" si="27"/>
        <v>1</v>
      </c>
      <c r="AF81" s="15">
        <f>3.931125</f>
        <v>3.9311250000000002</v>
      </c>
      <c r="AG81" s="15">
        <v>0</v>
      </c>
      <c r="AH81" s="15">
        <v>0</v>
      </c>
      <c r="AI81" s="15"/>
      <c r="AJ81" s="15"/>
      <c r="AK81" s="15">
        <v>5</v>
      </c>
      <c r="AL81" s="15">
        <f>AVERAGE(0,0,0,2,1)/8</f>
        <v>7.4999999999999997E-2</v>
      </c>
      <c r="AM81" s="15"/>
      <c r="AN81" s="15">
        <f>1.1*5</f>
        <v>5.5</v>
      </c>
      <c r="AO81" s="15">
        <v>0</v>
      </c>
      <c r="AP81" s="15">
        <f t="shared" si="26"/>
        <v>1</v>
      </c>
      <c r="AQ81" s="15">
        <f>7563.969/1000</f>
        <v>7.5639690000000002</v>
      </c>
      <c r="AR81" s="15">
        <f>0.0975</f>
        <v>9.7500000000000003E-2</v>
      </c>
      <c r="AS81" s="15">
        <v>0</v>
      </c>
      <c r="AT81" s="15"/>
      <c r="AU81" s="15"/>
      <c r="AV81" s="15"/>
      <c r="AW81" s="15"/>
      <c r="AX81" s="15"/>
      <c r="AY81" s="15"/>
      <c r="AZ81" s="15">
        <v>0</v>
      </c>
      <c r="BA81" s="15">
        <f t="shared" si="28"/>
        <v>1</v>
      </c>
      <c r="BB81" s="15">
        <f>5263.398/1000</f>
        <v>5.2633980000000005</v>
      </c>
      <c r="BC81" s="15">
        <f>0</f>
        <v>0</v>
      </c>
      <c r="BD81" s="15">
        <v>0</v>
      </c>
      <c r="BE81" s="15"/>
      <c r="BF81" s="15"/>
      <c r="BG81" s="15"/>
      <c r="BH81" s="15"/>
      <c r="BI81" s="15"/>
      <c r="BJ81" s="15"/>
      <c r="BK81" s="15">
        <v>0</v>
      </c>
      <c r="BL81" s="15">
        <f t="shared" si="25"/>
        <v>1</v>
      </c>
      <c r="BM81" s="15">
        <f>9408.648/1000</f>
        <v>9.4086479999999995</v>
      </c>
      <c r="BN81" s="15">
        <f>0</f>
        <v>0</v>
      </c>
      <c r="BO81" s="15"/>
      <c r="BP81" s="15"/>
      <c r="BQ81" s="15"/>
      <c r="BR81" s="15"/>
      <c r="BS81" s="15">
        <v>0</v>
      </c>
      <c r="BT81" s="15">
        <f>1/2</f>
        <v>0.5</v>
      </c>
      <c r="BU81" s="15">
        <f>10424.13/1000</f>
        <v>10.42413</v>
      </c>
      <c r="BV81" s="15">
        <f>0</f>
        <v>0</v>
      </c>
      <c r="BW81" s="15">
        <v>1</v>
      </c>
      <c r="BX81" s="15">
        <v>1</v>
      </c>
      <c r="BY81" s="15">
        <f>5/6</f>
        <v>0.83333333333333337</v>
      </c>
      <c r="BZ81" s="15"/>
      <c r="CA81" s="15"/>
      <c r="CB81" s="15"/>
      <c r="CC81" s="15"/>
      <c r="CD81" s="15">
        <v>0</v>
      </c>
      <c r="CE81" s="15">
        <f>1/2</f>
        <v>0.5</v>
      </c>
      <c r="CF81" s="15">
        <f>11818.3/1000</f>
        <v>11.818299999999999</v>
      </c>
      <c r="CG81" s="15">
        <f>0.0375</f>
        <v>3.7499999999999999E-2</v>
      </c>
      <c r="CH81" s="15">
        <v>0</v>
      </c>
      <c r="CI81" s="15"/>
      <c r="CJ81" s="15"/>
      <c r="CK81" s="15">
        <f t="shared" si="22"/>
        <v>48.409570000000002</v>
      </c>
      <c r="CL81" s="15">
        <f>2/8</f>
        <v>0.25</v>
      </c>
      <c r="CM81" s="15">
        <v>2</v>
      </c>
      <c r="CN81" s="15">
        <v>1</v>
      </c>
      <c r="CO81" s="15">
        <f>Table1[[#This Row],[TotalTrapsRisked]]/5</f>
        <v>0.2</v>
      </c>
      <c r="CP81" s="15">
        <v>0</v>
      </c>
      <c r="CQ81" s="15">
        <v>0</v>
      </c>
      <c r="CR81" s="15">
        <v>0</v>
      </c>
      <c r="CS81" s="15">
        <v>0.30909090909090908</v>
      </c>
      <c r="CT81" s="15">
        <v>0</v>
      </c>
      <c r="CU81" s="15">
        <v>148</v>
      </c>
      <c r="CV81" s="15">
        <v>340</v>
      </c>
      <c r="CW81" s="15">
        <v>0</v>
      </c>
      <c r="CX81" s="15"/>
      <c r="CY81" s="15"/>
      <c r="CZ81" s="15"/>
      <c r="DA81" s="15"/>
      <c r="DB81" s="15"/>
      <c r="DC81" s="15"/>
      <c r="DD81" s="15">
        <v>0</v>
      </c>
      <c r="DE81" s="15">
        <v>0</v>
      </c>
      <c r="DF81" s="15">
        <v>4</v>
      </c>
      <c r="DG81" s="15">
        <v>4</v>
      </c>
      <c r="DH81" s="15">
        <v>5</v>
      </c>
      <c r="DI81" s="15">
        <v>3</v>
      </c>
      <c r="DJ81" s="15">
        <v>4</v>
      </c>
      <c r="DK81" s="15">
        <v>2</v>
      </c>
      <c r="DL81" s="15">
        <v>2</v>
      </c>
      <c r="DM81" s="15">
        <v>4</v>
      </c>
      <c r="DN81" s="15">
        <v>1</v>
      </c>
      <c r="DO81" s="15">
        <v>3</v>
      </c>
      <c r="DP81" s="15">
        <v>3</v>
      </c>
      <c r="DQ81" s="15">
        <v>4</v>
      </c>
      <c r="DR81" s="15">
        <v>4</v>
      </c>
      <c r="DS81" s="15">
        <v>5</v>
      </c>
      <c r="DT81" s="15">
        <v>5</v>
      </c>
      <c r="DU81" s="15">
        <v>3</v>
      </c>
      <c r="DV81" s="15">
        <v>3</v>
      </c>
      <c r="DW81" s="15">
        <v>4</v>
      </c>
      <c r="DX81" s="15">
        <v>2</v>
      </c>
      <c r="DY81" s="15">
        <v>5</v>
      </c>
      <c r="DZ81" s="15">
        <v>2</v>
      </c>
      <c r="EA81" s="15">
        <v>4</v>
      </c>
      <c r="EB81" s="15">
        <v>4</v>
      </c>
      <c r="EC81" s="15">
        <v>2</v>
      </c>
      <c r="ED81" s="15">
        <v>3</v>
      </c>
      <c r="EE81" s="15">
        <v>2</v>
      </c>
      <c r="EF81" s="15">
        <v>4</v>
      </c>
      <c r="EG81" s="15">
        <v>4</v>
      </c>
      <c r="EH81" s="15">
        <v>4</v>
      </c>
      <c r="EI81" s="15">
        <v>3</v>
      </c>
      <c r="EJ81" s="15">
        <v>4</v>
      </c>
      <c r="EK81" s="15">
        <v>4</v>
      </c>
      <c r="EL81" s="15">
        <v>4</v>
      </c>
      <c r="EM81" s="15">
        <v>4</v>
      </c>
      <c r="EN81" s="15">
        <v>3</v>
      </c>
      <c r="EO81" s="15">
        <v>2</v>
      </c>
      <c r="EP81" s="15">
        <v>3</v>
      </c>
      <c r="EQ81" s="15">
        <v>4</v>
      </c>
      <c r="ER81" s="15">
        <v>1</v>
      </c>
      <c r="ES81" s="15">
        <v>4</v>
      </c>
      <c r="ET81" s="15">
        <v>1</v>
      </c>
      <c r="EU81" s="15">
        <v>3</v>
      </c>
      <c r="EV81" s="15">
        <v>4</v>
      </c>
      <c r="EW81" s="15">
        <v>4</v>
      </c>
      <c r="EX81" s="15">
        <v>4</v>
      </c>
      <c r="EY81" s="15">
        <v>3</v>
      </c>
      <c r="EZ81" s="15">
        <v>4</v>
      </c>
      <c r="FA81" s="15">
        <v>2</v>
      </c>
      <c r="FB81" s="15">
        <v>1</v>
      </c>
      <c r="FC81" s="15">
        <v>4</v>
      </c>
      <c r="FD81" s="15">
        <v>4</v>
      </c>
      <c r="FE81" s="15">
        <v>4</v>
      </c>
      <c r="FF81" s="15">
        <v>2</v>
      </c>
      <c r="FG81" s="15">
        <v>4</v>
      </c>
      <c r="FH81" s="15">
        <v>4</v>
      </c>
      <c r="FI81" s="15">
        <v>3</v>
      </c>
      <c r="FJ81" s="15">
        <v>4</v>
      </c>
      <c r="FK81" s="15">
        <v>4</v>
      </c>
      <c r="FL81" s="15">
        <v>4</v>
      </c>
      <c r="FM81" s="15">
        <v>2</v>
      </c>
      <c r="FN81" s="15">
        <v>2</v>
      </c>
      <c r="FO81" s="15">
        <v>2</v>
      </c>
      <c r="FP81" s="15">
        <v>4</v>
      </c>
      <c r="FQ81" s="15">
        <v>4</v>
      </c>
      <c r="FR81" s="15">
        <v>4</v>
      </c>
      <c r="FS81" s="15">
        <v>2</v>
      </c>
      <c r="FT81" s="15">
        <v>4</v>
      </c>
      <c r="FU81" s="15">
        <v>2</v>
      </c>
      <c r="FV81" s="15">
        <v>4</v>
      </c>
      <c r="FW81" s="15">
        <v>1</v>
      </c>
      <c r="FX81" s="15">
        <v>2</v>
      </c>
      <c r="FY81" s="15">
        <v>3</v>
      </c>
      <c r="FZ81" s="15">
        <v>3</v>
      </c>
      <c r="GA81" s="15">
        <v>4</v>
      </c>
      <c r="GB81" s="15">
        <v>1</v>
      </c>
      <c r="GC81" s="15">
        <v>1</v>
      </c>
      <c r="GD81" s="15">
        <v>3</v>
      </c>
      <c r="GE81" s="15">
        <v>4</v>
      </c>
      <c r="GF81" s="15">
        <v>2</v>
      </c>
      <c r="GG81" s="15">
        <v>1</v>
      </c>
      <c r="GH81" s="15">
        <v>1</v>
      </c>
      <c r="GI81" s="15">
        <v>4</v>
      </c>
      <c r="GJ81" s="15">
        <v>3</v>
      </c>
      <c r="GK81" s="15">
        <v>2</v>
      </c>
      <c r="GL81" s="15">
        <v>3</v>
      </c>
      <c r="GM81" s="15">
        <v>3</v>
      </c>
      <c r="GN81" s="15">
        <v>3</v>
      </c>
      <c r="GO81" s="15">
        <v>5</v>
      </c>
      <c r="GP81" s="15">
        <v>1</v>
      </c>
      <c r="GQ81" s="15">
        <v>1</v>
      </c>
      <c r="GR81" s="15">
        <v>2</v>
      </c>
      <c r="GS81" s="15">
        <v>4</v>
      </c>
      <c r="GT81" s="15">
        <v>2</v>
      </c>
      <c r="GU81" s="15">
        <v>4</v>
      </c>
      <c r="GV81" s="15">
        <v>3</v>
      </c>
      <c r="GW81" s="15">
        <v>3</v>
      </c>
      <c r="GX81" s="15">
        <v>4</v>
      </c>
      <c r="GY81" s="15">
        <v>4</v>
      </c>
      <c r="GZ81" s="15">
        <v>1</v>
      </c>
      <c r="HA81" s="15">
        <v>1</v>
      </c>
      <c r="HB81" s="15">
        <v>1</v>
      </c>
      <c r="HC81" s="15">
        <v>4</v>
      </c>
      <c r="HD81" s="15">
        <v>3</v>
      </c>
      <c r="HE81" s="15">
        <v>1</v>
      </c>
      <c r="HF81" s="15">
        <v>1</v>
      </c>
      <c r="HG81" s="15">
        <v>1</v>
      </c>
      <c r="HH81" s="15">
        <v>2</v>
      </c>
      <c r="HI81" s="15">
        <v>4</v>
      </c>
      <c r="HJ81" s="15">
        <v>3</v>
      </c>
      <c r="HK81" s="15">
        <v>1</v>
      </c>
      <c r="HL81" s="15">
        <v>1</v>
      </c>
      <c r="HM81" s="15">
        <v>4</v>
      </c>
      <c r="HN81" s="15">
        <v>1</v>
      </c>
      <c r="HO81" s="15">
        <v>2</v>
      </c>
      <c r="HP81" s="15">
        <v>1</v>
      </c>
      <c r="HQ81" s="15">
        <v>2</v>
      </c>
      <c r="HR81" s="15">
        <v>3</v>
      </c>
      <c r="HS81" s="15">
        <v>5</v>
      </c>
      <c r="HT81" s="15">
        <v>3</v>
      </c>
      <c r="HU81" s="15">
        <v>1</v>
      </c>
      <c r="HV81" s="15">
        <v>1</v>
      </c>
      <c r="HW81" s="15">
        <v>3.5</v>
      </c>
      <c r="HX81" s="15">
        <v>3.5</v>
      </c>
      <c r="HY81" s="15">
        <v>4.75</v>
      </c>
      <c r="HZ81" s="15">
        <v>4.75</v>
      </c>
      <c r="IA81" s="15">
        <v>3.5</v>
      </c>
      <c r="IB81" s="15">
        <v>4</v>
      </c>
      <c r="IC81" s="15">
        <v>3.5</v>
      </c>
      <c r="ID81" s="15">
        <v>2</v>
      </c>
      <c r="IE81" s="15">
        <v>2.25</v>
      </c>
      <c r="IF81" s="15">
        <v>3.25</v>
      </c>
      <c r="IG81" s="15">
        <v>2</v>
      </c>
      <c r="IH81" s="15">
        <v>2.75</v>
      </c>
      <c r="II81" s="15">
        <v>4</v>
      </c>
      <c r="IJ81" s="15">
        <v>2.25</v>
      </c>
      <c r="IK81" s="15">
        <v>3.25</v>
      </c>
      <c r="IL81" s="15">
        <v>3.25</v>
      </c>
      <c r="IM81" s="15">
        <v>3</v>
      </c>
      <c r="IN81" s="15">
        <v>4.5</v>
      </c>
      <c r="IO81" s="15">
        <v>4.25</v>
      </c>
      <c r="IP81" s="15">
        <v>4.25</v>
      </c>
      <c r="IQ81" s="15">
        <v>3.75</v>
      </c>
      <c r="IR81" s="15">
        <v>3.75</v>
      </c>
      <c r="IS81" s="15">
        <v>4</v>
      </c>
      <c r="IT81" s="15">
        <v>4</v>
      </c>
      <c r="IU81" s="15">
        <v>3.5</v>
      </c>
      <c r="IV81" s="15">
        <v>5</v>
      </c>
      <c r="IW81" s="15">
        <v>4.75</v>
      </c>
      <c r="IX81" s="15">
        <v>4.75</v>
      </c>
      <c r="IY81" s="15">
        <v>3.5</v>
      </c>
      <c r="IZ81" s="15">
        <v>4.5</v>
      </c>
    </row>
    <row r="82" spans="1:260" s="12" customFormat="1" x14ac:dyDescent="0.3">
      <c r="A82" s="15">
        <v>85</v>
      </c>
      <c r="B82" s="15" t="s">
        <v>469</v>
      </c>
      <c r="C82" s="16">
        <v>51</v>
      </c>
      <c r="D82" s="15" t="s">
        <v>258</v>
      </c>
      <c r="E82" s="15" t="s">
        <v>366</v>
      </c>
      <c r="F82" s="15" t="s">
        <v>290</v>
      </c>
      <c r="G82" s="15" t="s">
        <v>302</v>
      </c>
      <c r="H82" s="15" t="s">
        <v>269</v>
      </c>
      <c r="I82" s="15" t="s">
        <v>270</v>
      </c>
      <c r="J82" s="15" t="s">
        <v>377</v>
      </c>
      <c r="K82" s="15" t="s">
        <v>277</v>
      </c>
      <c r="L82" s="15" t="s">
        <v>281</v>
      </c>
      <c r="M82" s="15" t="s">
        <v>422</v>
      </c>
      <c r="N82" s="15">
        <v>0</v>
      </c>
      <c r="O82" s="15">
        <f>2/3</f>
        <v>0.66666666666666663</v>
      </c>
      <c r="P82" s="15">
        <f>15904.613/1000</f>
        <v>15.904612999999999</v>
      </c>
      <c r="Q82" s="15">
        <f>0</f>
        <v>0</v>
      </c>
      <c r="R82" s="15"/>
      <c r="S82" s="15"/>
      <c r="T82" s="15"/>
      <c r="U82" s="15"/>
      <c r="V82" s="15">
        <v>0</v>
      </c>
      <c r="W82" s="15">
        <f>0/8</f>
        <v>0</v>
      </c>
      <c r="X82" s="15">
        <f>12646.468/1000</f>
        <v>12.646468</v>
      </c>
      <c r="Y82" s="15">
        <v>0</v>
      </c>
      <c r="Z82" s="15"/>
      <c r="AA82" s="15"/>
      <c r="AB82" s="15"/>
      <c r="AC82" s="15"/>
      <c r="AD82" s="15">
        <v>0</v>
      </c>
      <c r="AE82" s="15">
        <f t="shared" si="27"/>
        <v>1</v>
      </c>
      <c r="AF82" s="15">
        <f>13856.018/1000</f>
        <v>13.856018000000001</v>
      </c>
      <c r="AG82" s="15">
        <v>0</v>
      </c>
      <c r="AH82" s="15">
        <v>0</v>
      </c>
      <c r="AI82" s="15"/>
      <c r="AJ82" s="15"/>
      <c r="AK82" s="15">
        <v>2</v>
      </c>
      <c r="AL82" s="15">
        <f>AVERAGE(4,2)/8</f>
        <v>0.375</v>
      </c>
      <c r="AM82" s="15"/>
      <c r="AN82" s="15">
        <f>1.1*2</f>
        <v>2.2000000000000002</v>
      </c>
      <c r="AO82" s="15">
        <v>0</v>
      </c>
      <c r="AP82" s="15">
        <f t="shared" si="26"/>
        <v>1</v>
      </c>
      <c r="AQ82" s="15">
        <f>18159.534/1000</f>
        <v>18.159534000000001</v>
      </c>
      <c r="AR82" s="15">
        <f>0</f>
        <v>0</v>
      </c>
      <c r="AS82" s="15">
        <v>0</v>
      </c>
      <c r="AT82" s="15"/>
      <c r="AU82" s="15"/>
      <c r="AV82" s="15">
        <v>1</v>
      </c>
      <c r="AW82" s="15">
        <f>1/4</f>
        <v>0.25</v>
      </c>
      <c r="AX82" s="15"/>
      <c r="AY82" s="15">
        <f>1.0025</f>
        <v>1.0024999999999999</v>
      </c>
      <c r="AZ82" s="15">
        <v>0</v>
      </c>
      <c r="BA82" s="15">
        <f t="shared" si="28"/>
        <v>1</v>
      </c>
      <c r="BB82" s="15">
        <f>5797.938/1000</f>
        <v>5.7979380000000003</v>
      </c>
      <c r="BC82" s="15">
        <v>0</v>
      </c>
      <c r="BD82" s="15">
        <v>0</v>
      </c>
      <c r="BE82" s="15"/>
      <c r="BF82" s="15"/>
      <c r="BG82" s="15">
        <v>1</v>
      </c>
      <c r="BH82" s="15">
        <f>0</f>
        <v>0</v>
      </c>
      <c r="BI82" s="15"/>
      <c r="BJ82" s="15">
        <f>1.05</f>
        <v>1.05</v>
      </c>
      <c r="BK82" s="15">
        <v>0</v>
      </c>
      <c r="BL82" s="15">
        <f t="shared" si="25"/>
        <v>1</v>
      </c>
      <c r="BM82" s="15">
        <f>15718.821/1000</f>
        <v>15.718821</v>
      </c>
      <c r="BN82" s="15">
        <f>0</f>
        <v>0</v>
      </c>
      <c r="BO82" s="15"/>
      <c r="BP82" s="15"/>
      <c r="BQ82" s="15"/>
      <c r="BR82" s="15"/>
      <c r="BS82" s="15">
        <v>0</v>
      </c>
      <c r="BT82" s="15">
        <f t="shared" ref="BT82:BT87" si="29">2/2</f>
        <v>1</v>
      </c>
      <c r="BU82" s="15">
        <f>17034.088/1000</f>
        <v>17.034088000000001</v>
      </c>
      <c r="BV82" s="15">
        <v>0</v>
      </c>
      <c r="BW82" s="15">
        <v>1</v>
      </c>
      <c r="BX82" s="15">
        <v>1</v>
      </c>
      <c r="BY82" s="15">
        <f>3/6</f>
        <v>0.5</v>
      </c>
      <c r="BZ82" s="15"/>
      <c r="CA82" s="15"/>
      <c r="CB82" s="15"/>
      <c r="CC82" s="15"/>
      <c r="CD82" s="15">
        <v>0</v>
      </c>
      <c r="CE82" s="15">
        <f t="shared" ref="CE82:CE87" si="30">2/2</f>
        <v>1</v>
      </c>
      <c r="CF82" s="15">
        <f>20363.702/1000</f>
        <v>20.363702</v>
      </c>
      <c r="CG82" s="15">
        <f>0.155</f>
        <v>0.155</v>
      </c>
      <c r="CH82" s="15">
        <v>0</v>
      </c>
      <c r="CI82" s="15"/>
      <c r="CJ82" s="15"/>
      <c r="CK82" s="15">
        <f t="shared" si="22"/>
        <v>119.481182</v>
      </c>
      <c r="CL82" s="15">
        <f>5/8</f>
        <v>0.625</v>
      </c>
      <c r="CM82" s="15">
        <v>2</v>
      </c>
      <c r="CN82" s="15">
        <v>1</v>
      </c>
      <c r="CO82" s="15">
        <f>Table1[[#This Row],[TotalTrapsRisked]]/5</f>
        <v>0.2</v>
      </c>
      <c r="CP82" s="15">
        <v>0</v>
      </c>
      <c r="CQ82" s="15">
        <v>1</v>
      </c>
      <c r="CR82" s="15">
        <v>0.625</v>
      </c>
      <c r="CS82" s="15">
        <v>0.55454545454545456</v>
      </c>
      <c r="CT82" s="15">
        <v>1</v>
      </c>
      <c r="CU82" s="15">
        <v>267</v>
      </c>
      <c r="CV82" s="15">
        <v>710</v>
      </c>
      <c r="CW82" s="15">
        <v>1</v>
      </c>
      <c r="CX82" s="15"/>
      <c r="CY82" s="15"/>
      <c r="CZ82" s="15"/>
      <c r="DA82" s="15"/>
      <c r="DB82" s="15"/>
      <c r="DC82" s="15"/>
      <c r="DD82" s="15">
        <v>0</v>
      </c>
      <c r="DE82" s="15">
        <v>0</v>
      </c>
      <c r="DF82" s="15">
        <v>5</v>
      </c>
      <c r="DG82" s="15">
        <v>4</v>
      </c>
      <c r="DH82" s="15">
        <v>3</v>
      </c>
      <c r="DI82" s="15">
        <v>3</v>
      </c>
      <c r="DJ82" s="15">
        <v>5</v>
      </c>
      <c r="DK82" s="15">
        <v>1</v>
      </c>
      <c r="DL82" s="15">
        <v>2</v>
      </c>
      <c r="DM82" s="15">
        <v>3</v>
      </c>
      <c r="DN82" s="15">
        <v>1</v>
      </c>
      <c r="DO82" s="15">
        <v>4</v>
      </c>
      <c r="DP82" s="15">
        <v>1</v>
      </c>
      <c r="DQ82" s="15">
        <v>4</v>
      </c>
      <c r="DR82" s="15">
        <v>2</v>
      </c>
      <c r="DS82" s="15">
        <v>4</v>
      </c>
      <c r="DT82" s="15">
        <v>5</v>
      </c>
      <c r="DU82" s="15">
        <v>4</v>
      </c>
      <c r="DV82" s="15">
        <v>4</v>
      </c>
      <c r="DW82" s="15">
        <v>3</v>
      </c>
      <c r="DX82" s="15">
        <v>1</v>
      </c>
      <c r="DY82" s="15">
        <v>5</v>
      </c>
      <c r="DZ82" s="15">
        <v>2</v>
      </c>
      <c r="EA82" s="15">
        <v>3</v>
      </c>
      <c r="EB82" s="15">
        <v>4</v>
      </c>
      <c r="EC82" s="15">
        <v>3</v>
      </c>
      <c r="ED82" s="15">
        <v>3</v>
      </c>
      <c r="EE82" s="15">
        <v>1</v>
      </c>
      <c r="EF82" s="15">
        <v>3</v>
      </c>
      <c r="EG82" s="15">
        <v>3</v>
      </c>
      <c r="EH82" s="15">
        <v>2</v>
      </c>
      <c r="EI82" s="15">
        <v>4</v>
      </c>
      <c r="EJ82" s="15">
        <v>4</v>
      </c>
      <c r="EK82" s="15">
        <v>3</v>
      </c>
      <c r="EL82" s="15">
        <v>2</v>
      </c>
      <c r="EM82" s="15">
        <v>3</v>
      </c>
      <c r="EN82" s="15">
        <v>3</v>
      </c>
      <c r="EO82" s="15">
        <v>1</v>
      </c>
      <c r="EP82" s="15">
        <v>1</v>
      </c>
      <c r="EQ82" s="15">
        <v>4</v>
      </c>
      <c r="ER82" s="15">
        <v>1</v>
      </c>
      <c r="ES82" s="15">
        <v>1</v>
      </c>
      <c r="ET82" s="15">
        <v>1</v>
      </c>
      <c r="EU82" s="15">
        <v>3</v>
      </c>
      <c r="EV82" s="15">
        <v>3</v>
      </c>
      <c r="EW82" s="15">
        <v>4</v>
      </c>
      <c r="EX82" s="15">
        <v>5</v>
      </c>
      <c r="EY82" s="15">
        <v>4</v>
      </c>
      <c r="EZ82" s="15">
        <v>4</v>
      </c>
      <c r="FA82" s="15">
        <v>4</v>
      </c>
      <c r="FB82" s="15">
        <v>1</v>
      </c>
      <c r="FC82" s="15">
        <v>4</v>
      </c>
      <c r="FD82" s="15">
        <v>5</v>
      </c>
      <c r="FE82" s="15">
        <v>3</v>
      </c>
      <c r="FF82" s="15">
        <v>5</v>
      </c>
      <c r="FG82" s="15">
        <v>4</v>
      </c>
      <c r="FH82" s="15">
        <v>4</v>
      </c>
      <c r="FI82" s="15">
        <v>2</v>
      </c>
      <c r="FJ82" s="15">
        <v>3</v>
      </c>
      <c r="FK82" s="15">
        <v>5</v>
      </c>
      <c r="FL82" s="15">
        <v>4</v>
      </c>
      <c r="FM82" s="15">
        <v>3</v>
      </c>
      <c r="FN82" s="15">
        <v>3</v>
      </c>
      <c r="FO82" s="15">
        <v>2</v>
      </c>
      <c r="FP82" s="15">
        <v>2</v>
      </c>
      <c r="FQ82" s="15">
        <v>3</v>
      </c>
      <c r="FR82" s="15">
        <v>4</v>
      </c>
      <c r="FS82" s="15">
        <v>1</v>
      </c>
      <c r="FT82" s="15">
        <v>4</v>
      </c>
      <c r="FU82" s="15">
        <v>5</v>
      </c>
      <c r="FV82" s="15">
        <v>4</v>
      </c>
      <c r="FW82" s="15">
        <v>1</v>
      </c>
      <c r="FX82" s="15">
        <v>1</v>
      </c>
      <c r="FY82" s="15">
        <v>1</v>
      </c>
      <c r="FZ82" s="15">
        <v>4</v>
      </c>
      <c r="GA82" s="15">
        <v>2</v>
      </c>
      <c r="GB82" s="15">
        <v>1</v>
      </c>
      <c r="GC82" s="15">
        <v>2</v>
      </c>
      <c r="GD82" s="15">
        <v>4</v>
      </c>
      <c r="GE82" s="15">
        <v>3</v>
      </c>
      <c r="GF82" s="15">
        <v>4</v>
      </c>
      <c r="GG82" s="15">
        <v>1</v>
      </c>
      <c r="GH82" s="15">
        <v>1</v>
      </c>
      <c r="GI82" s="15">
        <v>3</v>
      </c>
      <c r="GJ82" s="15">
        <v>3</v>
      </c>
      <c r="GK82" s="15">
        <v>3</v>
      </c>
      <c r="GL82" s="15">
        <v>4</v>
      </c>
      <c r="GM82" s="15">
        <v>1</v>
      </c>
      <c r="GN82" s="15">
        <v>2</v>
      </c>
      <c r="GO82" s="15">
        <v>5</v>
      </c>
      <c r="GP82" s="15">
        <v>4</v>
      </c>
      <c r="GQ82" s="15">
        <v>2</v>
      </c>
      <c r="GR82" s="15">
        <v>4</v>
      </c>
      <c r="GS82" s="15">
        <v>4</v>
      </c>
      <c r="GT82" s="15">
        <v>3</v>
      </c>
      <c r="GU82" s="15">
        <v>1</v>
      </c>
      <c r="GV82" s="15">
        <v>3</v>
      </c>
      <c r="GW82" s="15">
        <v>4</v>
      </c>
      <c r="GX82" s="15">
        <v>5</v>
      </c>
      <c r="GY82" s="15">
        <v>4</v>
      </c>
      <c r="GZ82" s="15">
        <v>4</v>
      </c>
      <c r="HA82" s="15">
        <v>1</v>
      </c>
      <c r="HB82" s="15">
        <v>1</v>
      </c>
      <c r="HC82" s="15">
        <v>5</v>
      </c>
      <c r="HD82" s="15">
        <v>2</v>
      </c>
      <c r="HE82" s="15">
        <v>1</v>
      </c>
      <c r="HF82" s="15">
        <v>2</v>
      </c>
      <c r="HG82" s="15">
        <v>1</v>
      </c>
      <c r="HH82" s="15">
        <v>2</v>
      </c>
      <c r="HI82" s="15">
        <v>4</v>
      </c>
      <c r="HJ82" s="15">
        <v>4</v>
      </c>
      <c r="HK82" s="15">
        <v>1</v>
      </c>
      <c r="HL82" s="15">
        <v>1</v>
      </c>
      <c r="HM82" s="15">
        <v>4</v>
      </c>
      <c r="HN82" s="15">
        <v>1</v>
      </c>
      <c r="HO82" s="15">
        <v>5</v>
      </c>
      <c r="HP82" s="15">
        <v>3</v>
      </c>
      <c r="HQ82" s="15">
        <v>2</v>
      </c>
      <c r="HR82" s="15">
        <v>4</v>
      </c>
      <c r="HS82" s="15">
        <v>5</v>
      </c>
      <c r="HT82" s="15">
        <v>5</v>
      </c>
      <c r="HU82" s="15">
        <v>3</v>
      </c>
      <c r="HV82" s="15">
        <v>1</v>
      </c>
      <c r="HW82" s="15">
        <v>4</v>
      </c>
      <c r="HX82" s="15">
        <v>4.75</v>
      </c>
      <c r="HY82" s="15">
        <v>4.75</v>
      </c>
      <c r="HZ82" s="15">
        <v>4.75</v>
      </c>
      <c r="IA82" s="15">
        <v>4</v>
      </c>
      <c r="IB82" s="15">
        <v>3</v>
      </c>
      <c r="IC82" s="15">
        <v>4</v>
      </c>
      <c r="ID82" s="15">
        <v>1</v>
      </c>
      <c r="IE82" s="15">
        <v>1</v>
      </c>
      <c r="IF82" s="15">
        <v>4</v>
      </c>
      <c r="IG82" s="15">
        <v>2</v>
      </c>
      <c r="IH82" s="15">
        <v>1.75</v>
      </c>
      <c r="II82" s="15">
        <v>3.5</v>
      </c>
      <c r="IJ82" s="15">
        <v>1.75</v>
      </c>
      <c r="IK82" s="15">
        <v>3.75</v>
      </c>
      <c r="IL82" s="15">
        <v>3.25</v>
      </c>
      <c r="IM82" s="15">
        <v>2.5</v>
      </c>
      <c r="IN82" s="15">
        <v>4</v>
      </c>
      <c r="IO82" s="15">
        <v>2</v>
      </c>
      <c r="IP82" s="15">
        <v>2.5</v>
      </c>
      <c r="IQ82" s="15">
        <v>3.5</v>
      </c>
      <c r="IR82" s="15">
        <v>2.25</v>
      </c>
      <c r="IS82" s="15">
        <v>2.25</v>
      </c>
      <c r="IT82" s="15">
        <v>2.75</v>
      </c>
      <c r="IU82" s="15">
        <v>3</v>
      </c>
      <c r="IV82" s="15">
        <v>5</v>
      </c>
      <c r="IW82" s="15">
        <v>4.25</v>
      </c>
      <c r="IX82" s="15">
        <v>5</v>
      </c>
      <c r="IY82" s="15">
        <v>2.5</v>
      </c>
      <c r="IZ82" s="15">
        <v>3.25</v>
      </c>
    </row>
    <row r="83" spans="1:260" s="12" customFormat="1" x14ac:dyDescent="0.3">
      <c r="A83" s="15">
        <v>86</v>
      </c>
      <c r="B83" s="15" t="s">
        <v>467</v>
      </c>
      <c r="C83" s="16">
        <v>27</v>
      </c>
      <c r="D83" s="15" t="s">
        <v>288</v>
      </c>
      <c r="E83" s="15" t="s">
        <v>289</v>
      </c>
      <c r="F83" s="15" t="s">
        <v>260</v>
      </c>
      <c r="G83" s="15" t="s">
        <v>283</v>
      </c>
      <c r="H83" s="15" t="s">
        <v>298</v>
      </c>
      <c r="I83" s="15" t="s">
        <v>280</v>
      </c>
      <c r="J83" s="15" t="s">
        <v>423</v>
      </c>
      <c r="K83" s="15" t="s">
        <v>272</v>
      </c>
      <c r="L83" s="15" t="s">
        <v>406</v>
      </c>
      <c r="M83" s="15" t="s">
        <v>424</v>
      </c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>
        <v>1</v>
      </c>
      <c r="AA83" s="15">
        <f>1/5</f>
        <v>0.2</v>
      </c>
      <c r="AB83" s="15"/>
      <c r="AC83" s="15">
        <f>1.05</f>
        <v>1.05</v>
      </c>
      <c r="AD83" s="15">
        <v>0</v>
      </c>
      <c r="AE83" s="15">
        <f t="shared" si="27"/>
        <v>1</v>
      </c>
      <c r="AF83" s="15">
        <f>5309.022/1000</f>
        <v>5.3090219999999997</v>
      </c>
      <c r="AG83" s="15">
        <v>0</v>
      </c>
      <c r="AH83" s="15">
        <v>0</v>
      </c>
      <c r="AI83" s="15"/>
      <c r="AJ83" s="15"/>
      <c r="AK83" s="15">
        <v>2</v>
      </c>
      <c r="AL83" s="15">
        <f>AVERAGE(2,3)/8</f>
        <v>0.3125</v>
      </c>
      <c r="AM83" s="15"/>
      <c r="AN83" s="15">
        <f>2.2</f>
        <v>2.2000000000000002</v>
      </c>
      <c r="AO83" s="15">
        <v>0</v>
      </c>
      <c r="AP83" s="15">
        <f t="shared" si="26"/>
        <v>1</v>
      </c>
      <c r="AQ83" s="15">
        <f>7787.944/1000</f>
        <v>7.7879440000000004</v>
      </c>
      <c r="AR83" s="15">
        <f>0.32</f>
        <v>0.32</v>
      </c>
      <c r="AS83" s="15">
        <v>0</v>
      </c>
      <c r="AT83" s="15"/>
      <c r="AU83" s="15"/>
      <c r="AV83" s="15"/>
      <c r="AW83" s="15"/>
      <c r="AX83" s="15"/>
      <c r="AY83" s="15"/>
      <c r="AZ83" s="15">
        <v>0</v>
      </c>
      <c r="BA83" s="15">
        <f t="shared" si="28"/>
        <v>1</v>
      </c>
      <c r="BB83" s="15">
        <f>5251.886/1000</f>
        <v>5.2518860000000007</v>
      </c>
      <c r="BC83" s="15">
        <f>0</f>
        <v>0</v>
      </c>
      <c r="BD83" s="15">
        <v>0</v>
      </c>
      <c r="BE83" s="15"/>
      <c r="BF83" s="15"/>
      <c r="BG83" s="15"/>
      <c r="BH83" s="15"/>
      <c r="BI83" s="15"/>
      <c r="BJ83" s="15"/>
      <c r="BK83" s="15">
        <v>0</v>
      </c>
      <c r="BL83" s="15">
        <f t="shared" si="25"/>
        <v>1</v>
      </c>
      <c r="BM83" s="15">
        <f>10633.26/1000</f>
        <v>10.63326</v>
      </c>
      <c r="BN83" s="15">
        <f>0.065</f>
        <v>6.5000000000000002E-2</v>
      </c>
      <c r="BO83" s="15"/>
      <c r="BP83" s="15"/>
      <c r="BQ83" s="15"/>
      <c r="BR83" s="15"/>
      <c r="BS83" s="15">
        <v>0</v>
      </c>
      <c r="BT83" s="15">
        <f t="shared" si="29"/>
        <v>1</v>
      </c>
      <c r="BU83" s="15">
        <f>14510.66/1000</f>
        <v>14.51066</v>
      </c>
      <c r="BV83" s="15">
        <v>0</v>
      </c>
      <c r="BW83" s="15">
        <v>0</v>
      </c>
      <c r="BX83" s="15"/>
      <c r="BY83" s="15"/>
      <c r="BZ83" s="15"/>
      <c r="CA83" s="15"/>
      <c r="CB83" s="15"/>
      <c r="CC83" s="15"/>
      <c r="CD83" s="15">
        <v>0</v>
      </c>
      <c r="CE83" s="15">
        <f t="shared" si="30"/>
        <v>1</v>
      </c>
      <c r="CF83" s="15">
        <f>AVERAGE(11330.07,13538.99)/1000</f>
        <v>12.434529999999999</v>
      </c>
      <c r="CG83" s="15">
        <f>0.0925</f>
        <v>9.2499999999999999E-2</v>
      </c>
      <c r="CH83" s="15">
        <v>1</v>
      </c>
      <c r="CI83" s="15">
        <v>1</v>
      </c>
      <c r="CJ83" s="15">
        <f>5/6</f>
        <v>0.83333333333333337</v>
      </c>
      <c r="CK83" s="15">
        <f t="shared" si="22"/>
        <v>55.927301999999997</v>
      </c>
      <c r="CL83" s="15">
        <f>2/8</f>
        <v>0.25</v>
      </c>
      <c r="CM83" s="15">
        <v>2</v>
      </c>
      <c r="CN83" s="15">
        <v>1</v>
      </c>
      <c r="CO83" s="15">
        <f>Table1[[#This Row],[TotalTrapsRisked]]/5</f>
        <v>0.2</v>
      </c>
      <c r="CP83" s="15">
        <v>0</v>
      </c>
      <c r="CQ83" s="15">
        <v>0</v>
      </c>
      <c r="CR83" s="15">
        <v>4.1666666666666664E-2</v>
      </c>
      <c r="CS83" s="15">
        <v>0.31818181818181818</v>
      </c>
      <c r="CT83" s="15">
        <v>0</v>
      </c>
      <c r="CU83" s="15">
        <v>174</v>
      </c>
      <c r="CV83" s="15">
        <v>350</v>
      </c>
      <c r="CW83" s="15">
        <v>0</v>
      </c>
      <c r="CX83" s="15"/>
      <c r="CY83" s="15"/>
      <c r="CZ83" s="15"/>
      <c r="DA83" s="15"/>
      <c r="DB83" s="15"/>
      <c r="DC83" s="15"/>
      <c r="DD83" s="15">
        <v>0</v>
      </c>
      <c r="DE83" s="15">
        <v>0</v>
      </c>
      <c r="DF83" s="15">
        <v>5</v>
      </c>
      <c r="DG83" s="15">
        <v>4</v>
      </c>
      <c r="DH83" s="15">
        <v>4</v>
      </c>
      <c r="DI83" s="15">
        <v>4</v>
      </c>
      <c r="DJ83" s="15">
        <v>5</v>
      </c>
      <c r="DK83" s="15">
        <v>2</v>
      </c>
      <c r="DL83" s="15">
        <v>3</v>
      </c>
      <c r="DM83" s="15">
        <v>3</v>
      </c>
      <c r="DN83" s="15">
        <v>1</v>
      </c>
      <c r="DO83" s="15">
        <v>4</v>
      </c>
      <c r="DP83" s="15">
        <v>3</v>
      </c>
      <c r="DQ83" s="15">
        <v>5</v>
      </c>
      <c r="DR83" s="15">
        <v>5</v>
      </c>
      <c r="DS83" s="15">
        <v>5</v>
      </c>
      <c r="DT83" s="15">
        <v>5</v>
      </c>
      <c r="DU83" s="15">
        <v>1</v>
      </c>
      <c r="DV83" s="15">
        <v>4</v>
      </c>
      <c r="DW83" s="15">
        <v>5</v>
      </c>
      <c r="DX83" s="15">
        <v>1</v>
      </c>
      <c r="DY83" s="15">
        <v>5</v>
      </c>
      <c r="DZ83" s="15">
        <v>4</v>
      </c>
      <c r="EA83" s="15">
        <v>5</v>
      </c>
      <c r="EB83" s="15">
        <v>5</v>
      </c>
      <c r="EC83" s="15">
        <v>3</v>
      </c>
      <c r="ED83" s="15">
        <v>3</v>
      </c>
      <c r="EE83" s="15">
        <v>3</v>
      </c>
      <c r="EF83" s="15">
        <v>3</v>
      </c>
      <c r="EG83" s="15">
        <v>5</v>
      </c>
      <c r="EH83" s="15">
        <v>5</v>
      </c>
      <c r="EI83" s="15">
        <v>4</v>
      </c>
      <c r="EJ83" s="15">
        <v>4</v>
      </c>
      <c r="EK83" s="15">
        <v>2</v>
      </c>
      <c r="EL83" s="15">
        <v>3</v>
      </c>
      <c r="EM83" s="15">
        <v>4</v>
      </c>
      <c r="EN83" s="15">
        <v>3</v>
      </c>
      <c r="EO83" s="15">
        <v>3</v>
      </c>
      <c r="EP83" s="15">
        <v>4</v>
      </c>
      <c r="EQ83" s="15">
        <v>4</v>
      </c>
      <c r="ER83" s="15">
        <v>1</v>
      </c>
      <c r="ES83" s="15">
        <v>4</v>
      </c>
      <c r="ET83" s="15">
        <v>3</v>
      </c>
      <c r="EU83" s="15">
        <v>4</v>
      </c>
      <c r="EV83" s="15">
        <v>3</v>
      </c>
      <c r="EW83" s="15">
        <v>4</v>
      </c>
      <c r="EX83" s="15">
        <v>5</v>
      </c>
      <c r="EY83" s="15">
        <v>1</v>
      </c>
      <c r="EZ83" s="15">
        <v>5</v>
      </c>
      <c r="FA83" s="15">
        <v>3</v>
      </c>
      <c r="FB83" s="15">
        <v>2</v>
      </c>
      <c r="FC83" s="15">
        <v>5</v>
      </c>
      <c r="FD83" s="15">
        <v>1</v>
      </c>
      <c r="FE83" s="15">
        <v>3</v>
      </c>
      <c r="FF83" s="15">
        <v>1</v>
      </c>
      <c r="FG83" s="15">
        <v>3</v>
      </c>
      <c r="FH83" s="15">
        <v>4</v>
      </c>
      <c r="FI83" s="15">
        <v>1</v>
      </c>
      <c r="FJ83" s="15">
        <v>4</v>
      </c>
      <c r="FK83" s="15">
        <v>1</v>
      </c>
      <c r="FL83" s="15">
        <v>5</v>
      </c>
      <c r="FM83" s="15">
        <v>4</v>
      </c>
      <c r="FN83" s="15">
        <v>3</v>
      </c>
      <c r="FO83" s="15">
        <v>1</v>
      </c>
      <c r="FP83" s="15">
        <v>4</v>
      </c>
      <c r="FQ83" s="15">
        <v>4</v>
      </c>
      <c r="FR83" s="15">
        <v>4</v>
      </c>
      <c r="FS83" s="15">
        <v>3</v>
      </c>
      <c r="FT83" s="15">
        <v>4</v>
      </c>
      <c r="FU83" s="15">
        <v>5</v>
      </c>
      <c r="FV83" s="15">
        <v>4</v>
      </c>
      <c r="FW83" s="15">
        <v>1</v>
      </c>
      <c r="FX83" s="15">
        <v>2</v>
      </c>
      <c r="FY83" s="15">
        <v>4</v>
      </c>
      <c r="FZ83" s="15">
        <v>4</v>
      </c>
      <c r="GA83" s="15">
        <v>2</v>
      </c>
      <c r="GB83" s="15">
        <v>2</v>
      </c>
      <c r="GC83" s="15">
        <v>1</v>
      </c>
      <c r="GD83" s="15">
        <v>5</v>
      </c>
      <c r="GE83" s="15">
        <v>4</v>
      </c>
      <c r="GF83" s="15">
        <v>2</v>
      </c>
      <c r="GG83" s="15">
        <v>1</v>
      </c>
      <c r="GH83" s="15">
        <v>1</v>
      </c>
      <c r="GI83" s="15">
        <v>4</v>
      </c>
      <c r="GJ83" s="15">
        <v>4</v>
      </c>
      <c r="GK83" s="15">
        <v>4</v>
      </c>
      <c r="GL83" s="15">
        <v>3</v>
      </c>
      <c r="GM83" s="15">
        <v>4</v>
      </c>
      <c r="GN83" s="15">
        <v>4</v>
      </c>
      <c r="GO83" s="15">
        <v>4</v>
      </c>
      <c r="GP83" s="15">
        <v>1</v>
      </c>
      <c r="GQ83" s="15">
        <v>1</v>
      </c>
      <c r="GR83" s="15">
        <v>4</v>
      </c>
      <c r="GS83" s="15">
        <v>4</v>
      </c>
      <c r="GT83" s="15">
        <v>3</v>
      </c>
      <c r="GU83" s="15">
        <v>5</v>
      </c>
      <c r="GV83" s="15">
        <v>2</v>
      </c>
      <c r="GW83" s="15">
        <v>4</v>
      </c>
      <c r="GX83" s="15">
        <v>4</v>
      </c>
      <c r="GY83" s="15">
        <v>1</v>
      </c>
      <c r="GZ83" s="15">
        <v>3</v>
      </c>
      <c r="HA83" s="15">
        <v>1</v>
      </c>
      <c r="HB83" s="15">
        <v>4</v>
      </c>
      <c r="HC83" s="15">
        <v>3</v>
      </c>
      <c r="HD83" s="15">
        <v>3</v>
      </c>
      <c r="HE83" s="15">
        <v>1</v>
      </c>
      <c r="HF83" s="15">
        <v>1</v>
      </c>
      <c r="HG83" s="15">
        <v>1</v>
      </c>
      <c r="HH83" s="15">
        <v>3</v>
      </c>
      <c r="HI83" s="15">
        <v>2</v>
      </c>
      <c r="HJ83" s="15">
        <v>1</v>
      </c>
      <c r="HK83" s="15">
        <v>1</v>
      </c>
      <c r="HL83" s="15">
        <v>1</v>
      </c>
      <c r="HM83" s="15">
        <v>4</v>
      </c>
      <c r="HN83" s="15">
        <v>1</v>
      </c>
      <c r="HO83" s="15">
        <v>1</v>
      </c>
      <c r="HP83" s="15">
        <v>3</v>
      </c>
      <c r="HQ83" s="15">
        <v>1</v>
      </c>
      <c r="HR83" s="15">
        <v>3</v>
      </c>
      <c r="HS83" s="15">
        <v>4</v>
      </c>
      <c r="HT83" s="15">
        <v>4</v>
      </c>
      <c r="HU83" s="15">
        <v>2</v>
      </c>
      <c r="HV83" s="15">
        <v>3</v>
      </c>
      <c r="HW83" s="15">
        <v>4</v>
      </c>
      <c r="HX83" s="15">
        <v>3</v>
      </c>
      <c r="HY83" s="15">
        <v>5</v>
      </c>
      <c r="HZ83" s="15">
        <v>5</v>
      </c>
      <c r="IA83" s="15">
        <v>3.5</v>
      </c>
      <c r="IB83" s="15">
        <v>2.25</v>
      </c>
      <c r="IC83" s="15">
        <v>4</v>
      </c>
      <c r="ID83" s="15">
        <v>2.5</v>
      </c>
      <c r="IE83" s="15">
        <v>3.25</v>
      </c>
      <c r="IF83" s="15">
        <v>2.5</v>
      </c>
      <c r="IG83" s="15">
        <v>3.25</v>
      </c>
      <c r="IH83" s="15">
        <v>2.75</v>
      </c>
      <c r="II83" s="15">
        <v>3.5</v>
      </c>
      <c r="IJ83" s="15">
        <v>3.5</v>
      </c>
      <c r="IK83" s="15">
        <v>4</v>
      </c>
      <c r="IL83" s="15">
        <v>4.25</v>
      </c>
      <c r="IM83" s="15">
        <v>3.25</v>
      </c>
      <c r="IN83" s="15">
        <v>3.75</v>
      </c>
      <c r="IO83" s="15">
        <v>4</v>
      </c>
      <c r="IP83" s="15">
        <v>2.75</v>
      </c>
      <c r="IQ83" s="15">
        <v>4.25</v>
      </c>
      <c r="IR83" s="15">
        <v>4.25</v>
      </c>
      <c r="IS83" s="15">
        <v>4.25</v>
      </c>
      <c r="IT83" s="15">
        <v>3.25</v>
      </c>
      <c r="IU83" s="15">
        <v>4</v>
      </c>
      <c r="IV83" s="15">
        <v>5</v>
      </c>
      <c r="IW83" s="15">
        <v>4.5</v>
      </c>
      <c r="IX83" s="15">
        <v>4.75</v>
      </c>
      <c r="IY83" s="15">
        <v>3</v>
      </c>
      <c r="IZ83" s="15">
        <v>4.75</v>
      </c>
    </row>
    <row r="84" spans="1:260" s="12" customFormat="1" x14ac:dyDescent="0.3">
      <c r="A84" s="15">
        <v>87</v>
      </c>
      <c r="B84" s="15" t="s">
        <v>469</v>
      </c>
      <c r="C84" s="16">
        <v>22</v>
      </c>
      <c r="D84" s="15" t="s">
        <v>288</v>
      </c>
      <c r="E84" s="15" t="s">
        <v>259</v>
      </c>
      <c r="F84" s="15" t="s">
        <v>260</v>
      </c>
      <c r="G84" s="15" t="s">
        <v>268</v>
      </c>
      <c r="H84" s="15" t="s">
        <v>269</v>
      </c>
      <c r="I84" s="15" t="s">
        <v>280</v>
      </c>
      <c r="J84" s="15" t="s">
        <v>280</v>
      </c>
      <c r="K84" s="15" t="s">
        <v>277</v>
      </c>
      <c r="L84" s="15" t="s">
        <v>278</v>
      </c>
      <c r="M84" s="15" t="s">
        <v>425</v>
      </c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>
        <v>0</v>
      </c>
      <c r="AE84" s="15">
        <f t="shared" si="27"/>
        <v>1</v>
      </c>
      <c r="AF84" s="15">
        <f>7116.436/1000</f>
        <v>7.1164359999999993</v>
      </c>
      <c r="AG84" s="15">
        <v>0</v>
      </c>
      <c r="AH84" s="15">
        <v>0</v>
      </c>
      <c r="AI84" s="15"/>
      <c r="AJ84" s="15"/>
      <c r="AK84" s="15">
        <v>1</v>
      </c>
      <c r="AL84" s="15">
        <f>0/8</f>
        <v>0</v>
      </c>
      <c r="AM84" s="15"/>
      <c r="AN84" s="15">
        <f>1.1</f>
        <v>1.1000000000000001</v>
      </c>
      <c r="AO84" s="15">
        <v>0</v>
      </c>
      <c r="AP84" s="15">
        <f t="shared" si="26"/>
        <v>1</v>
      </c>
      <c r="AQ84" s="15">
        <f>13234.25/1000</f>
        <v>13.234249999999999</v>
      </c>
      <c r="AR84" s="15">
        <f>0.1025</f>
        <v>0.10249999999999999</v>
      </c>
      <c r="AS84" s="15">
        <v>0</v>
      </c>
      <c r="AT84" s="15"/>
      <c r="AU84" s="15"/>
      <c r="AV84" s="15"/>
      <c r="AW84" s="15"/>
      <c r="AX84" s="15"/>
      <c r="AY84" s="15"/>
      <c r="AZ84" s="15">
        <v>0</v>
      </c>
      <c r="BA84" s="15">
        <f t="shared" si="28"/>
        <v>1</v>
      </c>
      <c r="BB84" s="15">
        <f>6242.499/1000</f>
        <v>6.2424989999999996</v>
      </c>
      <c r="BC84" s="15">
        <f>0</f>
        <v>0</v>
      </c>
      <c r="BD84" s="15">
        <v>0</v>
      </c>
      <c r="BE84" s="15"/>
      <c r="BF84" s="15"/>
      <c r="BG84" s="15"/>
      <c r="BH84" s="15"/>
      <c r="BI84" s="15"/>
      <c r="BJ84" s="15"/>
      <c r="BK84" s="15">
        <v>0</v>
      </c>
      <c r="BL84" s="15">
        <f t="shared" si="25"/>
        <v>1</v>
      </c>
      <c r="BM84" s="15">
        <f>10321.94/1000</f>
        <v>10.32194</v>
      </c>
      <c r="BN84" s="15">
        <v>0</v>
      </c>
      <c r="BO84" s="15"/>
      <c r="BP84" s="15"/>
      <c r="BQ84" s="15"/>
      <c r="BR84" s="15"/>
      <c r="BS84" s="15">
        <v>0</v>
      </c>
      <c r="BT84" s="15">
        <f t="shared" si="29"/>
        <v>1</v>
      </c>
      <c r="BU84" s="15">
        <f>8815.771/1000</f>
        <v>8.8157709999999998</v>
      </c>
      <c r="BV84" s="15">
        <v>0</v>
      </c>
      <c r="BW84" s="15">
        <v>1</v>
      </c>
      <c r="BX84" s="15">
        <v>1</v>
      </c>
      <c r="BY84" s="15">
        <v>0</v>
      </c>
      <c r="BZ84" s="15">
        <v>1</v>
      </c>
      <c r="CA84" s="15">
        <f>0/5</f>
        <v>0</v>
      </c>
      <c r="CB84" s="15"/>
      <c r="CC84" s="15">
        <f>1.05</f>
        <v>1.05</v>
      </c>
      <c r="CD84" s="15">
        <v>0</v>
      </c>
      <c r="CE84" s="15">
        <f t="shared" si="30"/>
        <v>1</v>
      </c>
      <c r="CF84" s="15">
        <f>12388.43/1000</f>
        <v>12.38843</v>
      </c>
      <c r="CG84" s="15">
        <f>0.0175</f>
        <v>1.7500000000000002E-2</v>
      </c>
      <c r="CH84" s="15">
        <v>0</v>
      </c>
      <c r="CI84" s="15"/>
      <c r="CJ84" s="15"/>
      <c r="CK84" s="15">
        <f t="shared" si="22"/>
        <v>58.119325999999994</v>
      </c>
      <c r="CL84" s="15">
        <f>2/8</f>
        <v>0.25</v>
      </c>
      <c r="CM84" s="15">
        <v>0</v>
      </c>
      <c r="CN84" s="15">
        <v>1</v>
      </c>
      <c r="CO84" s="15">
        <f>Table1[[#This Row],[TotalTrapsRisked]]/5</f>
        <v>0.2</v>
      </c>
      <c r="CP84" s="15">
        <v>0</v>
      </c>
      <c r="CQ84" s="15">
        <v>0</v>
      </c>
      <c r="CR84" s="15">
        <v>2.0833333333333332E-2</v>
      </c>
      <c r="CS84" s="15">
        <v>0.13636363636363635</v>
      </c>
      <c r="CT84" s="15">
        <v>0</v>
      </c>
      <c r="CU84" s="15">
        <v>100</v>
      </c>
      <c r="CV84" s="15">
        <v>150</v>
      </c>
      <c r="CW84" s="15">
        <v>0</v>
      </c>
      <c r="CX84" s="15"/>
      <c r="CY84" s="15"/>
      <c r="CZ84" s="15"/>
      <c r="DA84" s="15"/>
      <c r="DB84" s="15"/>
      <c r="DC84" s="15"/>
      <c r="DD84" s="15">
        <v>0</v>
      </c>
      <c r="DE84" s="15">
        <v>0</v>
      </c>
      <c r="DF84" s="15">
        <v>5</v>
      </c>
      <c r="DG84" s="15">
        <v>4</v>
      </c>
      <c r="DH84" s="15">
        <v>4</v>
      </c>
      <c r="DI84" s="15">
        <v>2</v>
      </c>
      <c r="DJ84" s="15">
        <v>3</v>
      </c>
      <c r="DK84" s="15">
        <v>2</v>
      </c>
      <c r="DL84" s="15">
        <v>1</v>
      </c>
      <c r="DM84" s="15">
        <v>4</v>
      </c>
      <c r="DN84" s="15">
        <v>3</v>
      </c>
      <c r="DO84" s="15">
        <v>2</v>
      </c>
      <c r="DP84" s="15">
        <v>4</v>
      </c>
      <c r="DQ84" s="15">
        <v>4</v>
      </c>
      <c r="DR84" s="15">
        <v>3</v>
      </c>
      <c r="DS84" s="15">
        <v>3</v>
      </c>
      <c r="DT84" s="15">
        <v>3</v>
      </c>
      <c r="DU84" s="15">
        <v>2</v>
      </c>
      <c r="DV84" s="15">
        <v>4</v>
      </c>
      <c r="DW84" s="15">
        <v>2</v>
      </c>
      <c r="DX84" s="15">
        <v>3</v>
      </c>
      <c r="DY84" s="15">
        <v>4</v>
      </c>
      <c r="DZ84" s="15">
        <v>1</v>
      </c>
      <c r="EA84" s="15">
        <v>3</v>
      </c>
      <c r="EB84" s="15">
        <v>5</v>
      </c>
      <c r="EC84" s="15">
        <v>4</v>
      </c>
      <c r="ED84" s="15">
        <v>2</v>
      </c>
      <c r="EE84" s="15">
        <v>5</v>
      </c>
      <c r="EF84" s="15">
        <v>3</v>
      </c>
      <c r="EG84" s="15">
        <v>3</v>
      </c>
      <c r="EH84" s="15">
        <v>3</v>
      </c>
      <c r="EI84" s="15">
        <v>4</v>
      </c>
      <c r="EJ84" s="15">
        <v>4</v>
      </c>
      <c r="EK84" s="15">
        <v>4</v>
      </c>
      <c r="EL84" s="15">
        <v>3</v>
      </c>
      <c r="EM84" s="15">
        <v>4</v>
      </c>
      <c r="EN84" s="15">
        <v>3</v>
      </c>
      <c r="EO84" s="15">
        <v>3</v>
      </c>
      <c r="EP84" s="15">
        <v>1</v>
      </c>
      <c r="EQ84" s="15">
        <v>4</v>
      </c>
      <c r="ER84" s="15">
        <v>1</v>
      </c>
      <c r="ES84" s="15">
        <v>5</v>
      </c>
      <c r="ET84" s="15">
        <v>3</v>
      </c>
      <c r="EU84" s="15">
        <v>4</v>
      </c>
      <c r="EV84" s="15">
        <v>4</v>
      </c>
      <c r="EW84" s="15">
        <v>3</v>
      </c>
      <c r="EX84" s="15">
        <v>5</v>
      </c>
      <c r="EY84" s="15">
        <v>4</v>
      </c>
      <c r="EZ84" s="15">
        <v>4</v>
      </c>
      <c r="FA84" s="15">
        <v>2</v>
      </c>
      <c r="FB84" s="15">
        <v>4</v>
      </c>
      <c r="FC84" s="15">
        <v>4</v>
      </c>
      <c r="FD84" s="15">
        <v>4</v>
      </c>
      <c r="FE84" s="15">
        <v>3</v>
      </c>
      <c r="FF84" s="15">
        <v>1</v>
      </c>
      <c r="FG84" s="15">
        <v>4</v>
      </c>
      <c r="FH84" s="15">
        <v>4</v>
      </c>
      <c r="FI84" s="15">
        <v>3</v>
      </c>
      <c r="FJ84" s="15">
        <v>2</v>
      </c>
      <c r="FK84" s="15">
        <v>5</v>
      </c>
      <c r="FL84" s="15">
        <v>3</v>
      </c>
      <c r="FM84" s="15">
        <v>4</v>
      </c>
      <c r="FN84" s="15">
        <v>4</v>
      </c>
      <c r="FO84" s="15">
        <v>3</v>
      </c>
      <c r="FP84" s="15">
        <v>1</v>
      </c>
      <c r="FQ84" s="15">
        <v>3</v>
      </c>
      <c r="FR84" s="15">
        <v>3</v>
      </c>
      <c r="FS84" s="15">
        <v>2</v>
      </c>
      <c r="FT84" s="15">
        <v>3</v>
      </c>
      <c r="FU84" s="15">
        <v>1</v>
      </c>
      <c r="FV84" s="15" t="s">
        <v>312</v>
      </c>
      <c r="FW84" s="15">
        <v>3</v>
      </c>
      <c r="FX84" s="15">
        <v>5</v>
      </c>
      <c r="FY84" s="15">
        <v>3</v>
      </c>
      <c r="FZ84" s="15">
        <v>4</v>
      </c>
      <c r="GA84" s="15">
        <v>4</v>
      </c>
      <c r="GB84" s="15">
        <v>3</v>
      </c>
      <c r="GC84" s="15">
        <v>1</v>
      </c>
      <c r="GD84" s="15">
        <v>5</v>
      </c>
      <c r="GE84" s="15">
        <v>4</v>
      </c>
      <c r="GF84" s="15">
        <v>3</v>
      </c>
      <c r="GG84" s="15">
        <v>2</v>
      </c>
      <c r="GH84" s="15">
        <v>1</v>
      </c>
      <c r="GI84" s="15">
        <v>4</v>
      </c>
      <c r="GJ84" s="15">
        <v>3</v>
      </c>
      <c r="GK84" s="15">
        <v>2</v>
      </c>
      <c r="GL84" s="15">
        <v>4</v>
      </c>
      <c r="GM84" s="15">
        <v>2</v>
      </c>
      <c r="GN84" s="15">
        <v>3</v>
      </c>
      <c r="GO84" s="15">
        <v>2</v>
      </c>
      <c r="GP84" s="15">
        <v>3</v>
      </c>
      <c r="GQ84" s="15">
        <v>2</v>
      </c>
      <c r="GR84" s="15">
        <v>2</v>
      </c>
      <c r="GS84" s="15">
        <v>4</v>
      </c>
      <c r="GT84" s="15">
        <v>3</v>
      </c>
      <c r="GU84" s="15">
        <v>2</v>
      </c>
      <c r="GV84" s="15">
        <v>3</v>
      </c>
      <c r="GW84" s="15">
        <v>3</v>
      </c>
      <c r="GX84" s="15">
        <v>2</v>
      </c>
      <c r="GY84" s="15">
        <v>3</v>
      </c>
      <c r="GZ84" s="15">
        <v>2</v>
      </c>
      <c r="HA84" s="15">
        <v>2</v>
      </c>
      <c r="HB84" s="15">
        <v>4</v>
      </c>
      <c r="HC84" s="15">
        <v>5</v>
      </c>
      <c r="HD84" s="15">
        <v>2</v>
      </c>
      <c r="HE84" s="15">
        <v>2</v>
      </c>
      <c r="HF84" s="15">
        <v>2</v>
      </c>
      <c r="HG84" s="15">
        <v>3</v>
      </c>
      <c r="HH84" s="15">
        <v>3</v>
      </c>
      <c r="HI84" s="15">
        <v>4</v>
      </c>
      <c r="HJ84" s="15">
        <v>3</v>
      </c>
      <c r="HK84" s="15">
        <v>2</v>
      </c>
      <c r="HL84" s="15">
        <v>2</v>
      </c>
      <c r="HM84" s="15">
        <v>4</v>
      </c>
      <c r="HN84" s="15">
        <v>1</v>
      </c>
      <c r="HO84" s="15">
        <v>1</v>
      </c>
      <c r="HP84" s="15">
        <v>3</v>
      </c>
      <c r="HQ84" s="15">
        <v>3</v>
      </c>
      <c r="HR84" s="15">
        <v>2</v>
      </c>
      <c r="HS84" s="15">
        <v>2</v>
      </c>
      <c r="HT84" s="15">
        <v>4</v>
      </c>
      <c r="HU84" s="15">
        <v>3</v>
      </c>
      <c r="HV84" s="15">
        <v>4</v>
      </c>
      <c r="HW84" s="15">
        <v>3</v>
      </c>
      <c r="HX84" s="15">
        <v>1.5</v>
      </c>
      <c r="HY84" s="15">
        <v>4</v>
      </c>
      <c r="HZ84" s="15">
        <v>4.25</v>
      </c>
      <c r="IA84" s="15">
        <v>3.25</v>
      </c>
      <c r="IB84" s="15">
        <v>2.5</v>
      </c>
      <c r="IC84" s="15">
        <v>4.25</v>
      </c>
      <c r="ID84" s="15">
        <v>2.75</v>
      </c>
      <c r="IE84" s="15">
        <v>2.75</v>
      </c>
      <c r="IF84" s="15">
        <v>3.5</v>
      </c>
      <c r="IG84" s="15">
        <v>1.75</v>
      </c>
      <c r="IH84" s="15">
        <v>3.75</v>
      </c>
      <c r="II84" s="15">
        <v>3.5</v>
      </c>
      <c r="IJ84" s="15">
        <v>2</v>
      </c>
      <c r="IK84" s="15">
        <v>4</v>
      </c>
      <c r="IL84" s="15">
        <v>3.5</v>
      </c>
      <c r="IM84" s="15">
        <v>2.5</v>
      </c>
      <c r="IN84" s="15">
        <v>2.25</v>
      </c>
      <c r="IO84" s="15">
        <v>2.5</v>
      </c>
      <c r="IP84" s="15">
        <v>4.25</v>
      </c>
      <c r="IQ84" s="15">
        <v>3.25</v>
      </c>
      <c r="IR84" s="15">
        <v>3</v>
      </c>
      <c r="IS84" s="15">
        <v>4.75</v>
      </c>
      <c r="IT84" s="15">
        <v>3.25</v>
      </c>
      <c r="IU84" s="15">
        <v>3</v>
      </c>
      <c r="IV84" s="15">
        <v>3.75</v>
      </c>
      <c r="IW84" s="15">
        <v>3.25</v>
      </c>
      <c r="IX84" s="15">
        <v>3.25</v>
      </c>
      <c r="IY84" s="15">
        <v>2.25</v>
      </c>
      <c r="IZ84" s="15">
        <v>3.25</v>
      </c>
    </row>
    <row r="85" spans="1:260" s="12" customFormat="1" x14ac:dyDescent="0.3">
      <c r="A85" s="15">
        <v>88</v>
      </c>
      <c r="B85" s="15" t="s">
        <v>469</v>
      </c>
      <c r="C85" s="16">
        <v>35</v>
      </c>
      <c r="D85" s="15" t="s">
        <v>288</v>
      </c>
      <c r="E85" s="15" t="s">
        <v>289</v>
      </c>
      <c r="F85" s="15" t="s">
        <v>260</v>
      </c>
      <c r="G85" s="15" t="s">
        <v>268</v>
      </c>
      <c r="H85" s="15" t="s">
        <v>262</v>
      </c>
      <c r="I85" s="15" t="s">
        <v>270</v>
      </c>
      <c r="J85" s="15" t="s">
        <v>426</v>
      </c>
      <c r="K85" s="15" t="s">
        <v>342</v>
      </c>
      <c r="L85" s="15" t="s">
        <v>281</v>
      </c>
      <c r="M85" s="15" t="s">
        <v>365</v>
      </c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>
        <v>1</v>
      </c>
      <c r="AA85" s="15">
        <v>0</v>
      </c>
      <c r="AB85" s="15"/>
      <c r="AC85" s="15">
        <f>1.05</f>
        <v>1.05</v>
      </c>
      <c r="AD85" s="15">
        <v>0</v>
      </c>
      <c r="AE85" s="15">
        <f t="shared" si="27"/>
        <v>1</v>
      </c>
      <c r="AF85" s="15">
        <f>8071.792/1000</f>
        <v>8.0717920000000003</v>
      </c>
      <c r="AG85" s="15">
        <v>0</v>
      </c>
      <c r="AH85" s="15">
        <v>0</v>
      </c>
      <c r="AI85" s="15"/>
      <c r="AJ85" s="15"/>
      <c r="AK85" s="15">
        <v>3</v>
      </c>
      <c r="AL85" s="15">
        <f>3/8</f>
        <v>0.375</v>
      </c>
      <c r="AM85" s="15">
        <f>198822.1/1000</f>
        <v>198.82210000000001</v>
      </c>
      <c r="AN85" s="15">
        <f>1.1*3</f>
        <v>3.3000000000000003</v>
      </c>
      <c r="AO85" s="15"/>
      <c r="AP85" s="15"/>
      <c r="AQ85" s="15"/>
      <c r="AR85" s="15"/>
      <c r="AS85" s="15">
        <v>0</v>
      </c>
      <c r="AT85" s="15"/>
      <c r="AU85" s="15"/>
      <c r="AV85" s="15"/>
      <c r="AW85" s="15"/>
      <c r="AX85" s="15"/>
      <c r="AY85" s="15"/>
      <c r="AZ85" s="15">
        <v>0</v>
      </c>
      <c r="BA85" s="15">
        <f t="shared" si="28"/>
        <v>1</v>
      </c>
      <c r="BB85" s="15">
        <f>7455.761/1000</f>
        <v>7.4557610000000007</v>
      </c>
      <c r="BC85" s="15">
        <v>0</v>
      </c>
      <c r="BD85" s="15">
        <v>0</v>
      </c>
      <c r="BE85" s="15"/>
      <c r="BF85" s="15"/>
      <c r="BG85" s="15"/>
      <c r="BH85" s="15"/>
      <c r="BI85" s="15"/>
      <c r="BJ85" s="15"/>
      <c r="BK85" s="15">
        <v>0</v>
      </c>
      <c r="BL85" s="15">
        <f t="shared" si="25"/>
        <v>1</v>
      </c>
      <c r="BM85" s="15">
        <f>16139.77/1000</f>
        <v>16.139770000000002</v>
      </c>
      <c r="BN85" s="15">
        <f>0.075</f>
        <v>7.4999999999999997E-2</v>
      </c>
      <c r="BO85" s="15"/>
      <c r="BP85" s="15"/>
      <c r="BQ85" s="15"/>
      <c r="BR85" s="15"/>
      <c r="BS85" s="15">
        <v>0</v>
      </c>
      <c r="BT85" s="15">
        <f t="shared" si="29"/>
        <v>1</v>
      </c>
      <c r="BU85" s="15">
        <f>15658.26/1000</f>
        <v>15.65826</v>
      </c>
      <c r="BV85" s="15">
        <v>0</v>
      </c>
      <c r="BW85" s="15">
        <v>0</v>
      </c>
      <c r="BX85" s="15"/>
      <c r="BY85" s="15"/>
      <c r="BZ85" s="15"/>
      <c r="CA85" s="15"/>
      <c r="CB85" s="15"/>
      <c r="CC85" s="15"/>
      <c r="CD85" s="15">
        <v>0</v>
      </c>
      <c r="CE85" s="15">
        <f t="shared" si="30"/>
        <v>1</v>
      </c>
      <c r="CF85" s="15">
        <f>14792.43/1000</f>
        <v>14.79243</v>
      </c>
      <c r="CG85" s="15">
        <f>0.09</f>
        <v>0.09</v>
      </c>
      <c r="CH85" s="15">
        <v>0</v>
      </c>
      <c r="CI85" s="15"/>
      <c r="CJ85" s="15"/>
      <c r="CK85" s="15">
        <f t="shared" si="22"/>
        <v>260.940113</v>
      </c>
      <c r="CL85" s="15">
        <f>2/8</f>
        <v>0.25</v>
      </c>
      <c r="CM85" s="15">
        <v>2</v>
      </c>
      <c r="CN85" s="15">
        <v>0</v>
      </c>
      <c r="CO85" s="15">
        <f>Table1[[#This Row],[TotalTrapsRisked]]/5</f>
        <v>0</v>
      </c>
      <c r="CP85" s="15">
        <v>0</v>
      </c>
      <c r="CQ85" s="15">
        <v>0</v>
      </c>
      <c r="CR85" s="15">
        <v>6.25E-2</v>
      </c>
      <c r="CS85" s="15">
        <v>0.25454545454545452</v>
      </c>
      <c r="CT85" s="15">
        <v>0</v>
      </c>
      <c r="CU85" s="15">
        <v>132</v>
      </c>
      <c r="CV85" s="15">
        <v>280</v>
      </c>
      <c r="CW85" s="15">
        <v>0</v>
      </c>
      <c r="CX85" s="15"/>
      <c r="CY85" s="15"/>
      <c r="CZ85" s="15"/>
      <c r="DA85" s="15"/>
      <c r="DB85" s="15"/>
      <c r="DC85" s="15"/>
      <c r="DD85" s="15">
        <v>0</v>
      </c>
      <c r="DE85" s="15">
        <v>0</v>
      </c>
      <c r="DF85" s="15">
        <v>4</v>
      </c>
      <c r="DG85" s="15">
        <v>4</v>
      </c>
      <c r="DH85" s="15">
        <v>4</v>
      </c>
      <c r="DI85" s="15">
        <v>4</v>
      </c>
      <c r="DJ85" s="15">
        <v>3</v>
      </c>
      <c r="DK85" s="15">
        <v>2</v>
      </c>
      <c r="DL85" s="15">
        <v>4</v>
      </c>
      <c r="DM85" s="15">
        <v>4</v>
      </c>
      <c r="DN85" s="15">
        <v>1</v>
      </c>
      <c r="DO85" s="15">
        <v>4</v>
      </c>
      <c r="DP85" s="15">
        <v>2</v>
      </c>
      <c r="DQ85" s="15">
        <v>4</v>
      </c>
      <c r="DR85" s="15">
        <v>4</v>
      </c>
      <c r="DS85" s="15">
        <v>4</v>
      </c>
      <c r="DT85" s="15">
        <v>4</v>
      </c>
      <c r="DU85" s="15">
        <v>1</v>
      </c>
      <c r="DV85" s="15">
        <v>3</v>
      </c>
      <c r="DW85" s="15">
        <v>4</v>
      </c>
      <c r="DX85" s="15">
        <v>3</v>
      </c>
      <c r="DY85" s="15">
        <v>4</v>
      </c>
      <c r="DZ85" s="15">
        <v>3</v>
      </c>
      <c r="EA85" s="15">
        <v>4</v>
      </c>
      <c r="EB85" s="15">
        <v>4</v>
      </c>
      <c r="EC85" s="15">
        <v>2</v>
      </c>
      <c r="ED85" s="15">
        <v>2</v>
      </c>
      <c r="EE85" s="15">
        <v>2</v>
      </c>
      <c r="EF85" s="15">
        <v>4</v>
      </c>
      <c r="EG85" s="15">
        <v>3</v>
      </c>
      <c r="EH85" s="15">
        <v>4</v>
      </c>
      <c r="EI85" s="15">
        <v>3</v>
      </c>
      <c r="EJ85" s="15">
        <v>3</v>
      </c>
      <c r="EK85" s="15">
        <v>4</v>
      </c>
      <c r="EL85" s="15">
        <v>3</v>
      </c>
      <c r="EM85" s="15">
        <v>3</v>
      </c>
      <c r="EN85" s="15">
        <v>3</v>
      </c>
      <c r="EO85" s="15">
        <v>2</v>
      </c>
      <c r="EP85" s="15">
        <v>4</v>
      </c>
      <c r="EQ85" s="15">
        <v>4</v>
      </c>
      <c r="ER85" s="15">
        <v>2</v>
      </c>
      <c r="ES85" s="15">
        <v>2</v>
      </c>
      <c r="ET85" s="15">
        <v>1</v>
      </c>
      <c r="EU85" s="15">
        <v>4</v>
      </c>
      <c r="EV85" s="15">
        <v>4</v>
      </c>
      <c r="EW85" s="15">
        <v>4</v>
      </c>
      <c r="EX85" s="15">
        <v>4</v>
      </c>
      <c r="EY85" s="15">
        <v>2</v>
      </c>
      <c r="EZ85" s="15">
        <v>4</v>
      </c>
      <c r="FA85" s="15">
        <v>2</v>
      </c>
      <c r="FB85" s="15">
        <v>3</v>
      </c>
      <c r="FC85" s="15">
        <v>3</v>
      </c>
      <c r="FD85" s="15">
        <v>3</v>
      </c>
      <c r="FE85" s="15">
        <v>4</v>
      </c>
      <c r="FF85" s="15">
        <v>3</v>
      </c>
      <c r="FG85" s="15">
        <v>3</v>
      </c>
      <c r="FH85" s="15">
        <v>4</v>
      </c>
      <c r="FI85" s="15">
        <v>2</v>
      </c>
      <c r="FJ85" s="15">
        <v>5</v>
      </c>
      <c r="FK85" s="15">
        <v>3</v>
      </c>
      <c r="FL85" s="15">
        <v>4</v>
      </c>
      <c r="FM85" s="15">
        <v>2</v>
      </c>
      <c r="FN85" s="15">
        <v>2</v>
      </c>
      <c r="FO85" s="15">
        <v>2</v>
      </c>
      <c r="FP85" s="15">
        <v>3</v>
      </c>
      <c r="FQ85" s="15">
        <v>4</v>
      </c>
      <c r="FR85" s="15">
        <v>4</v>
      </c>
      <c r="FS85" s="15">
        <v>2</v>
      </c>
      <c r="FT85" s="15">
        <v>2</v>
      </c>
      <c r="FU85" s="15">
        <v>2</v>
      </c>
      <c r="FV85" s="15">
        <v>4</v>
      </c>
      <c r="FW85" s="15">
        <v>2</v>
      </c>
      <c r="FX85" s="15">
        <v>1</v>
      </c>
      <c r="FY85" s="15">
        <v>1</v>
      </c>
      <c r="FZ85" s="15">
        <v>4</v>
      </c>
      <c r="GA85" s="15">
        <v>2</v>
      </c>
      <c r="GB85" s="15">
        <v>2</v>
      </c>
      <c r="GC85" s="15">
        <v>3</v>
      </c>
      <c r="GD85" s="15">
        <v>2</v>
      </c>
      <c r="GE85" s="15">
        <v>4</v>
      </c>
      <c r="GF85" s="15">
        <v>2</v>
      </c>
      <c r="GG85" s="15">
        <v>1</v>
      </c>
      <c r="GH85" s="15">
        <v>2</v>
      </c>
      <c r="GI85" s="15">
        <v>3</v>
      </c>
      <c r="GJ85" s="15">
        <v>3</v>
      </c>
      <c r="GK85" s="15">
        <v>2</v>
      </c>
      <c r="GL85" s="15">
        <v>3</v>
      </c>
      <c r="GM85" s="15">
        <v>2</v>
      </c>
      <c r="GN85" s="15">
        <v>2</v>
      </c>
      <c r="GO85" s="15">
        <v>5</v>
      </c>
      <c r="GP85" s="15">
        <v>3</v>
      </c>
      <c r="GQ85" s="15">
        <v>1</v>
      </c>
      <c r="GR85" s="15">
        <v>2</v>
      </c>
      <c r="GS85" s="15">
        <v>2</v>
      </c>
      <c r="GT85" s="15">
        <v>2</v>
      </c>
      <c r="GU85" s="15">
        <v>3</v>
      </c>
      <c r="GV85" s="15">
        <v>3</v>
      </c>
      <c r="GW85" s="15">
        <v>4</v>
      </c>
      <c r="GX85" s="15">
        <v>4</v>
      </c>
      <c r="GY85" s="15">
        <v>2</v>
      </c>
      <c r="GZ85" s="15">
        <v>2</v>
      </c>
      <c r="HA85" s="15">
        <v>2</v>
      </c>
      <c r="HB85" s="15">
        <v>2</v>
      </c>
      <c r="HC85" s="15">
        <v>5</v>
      </c>
      <c r="HD85" s="15">
        <v>2</v>
      </c>
      <c r="HE85" s="15">
        <v>2</v>
      </c>
      <c r="HF85" s="15">
        <v>2</v>
      </c>
      <c r="HG85" s="15">
        <v>2</v>
      </c>
      <c r="HH85" s="15">
        <v>3</v>
      </c>
      <c r="HI85" s="15">
        <v>3</v>
      </c>
      <c r="HJ85" s="15">
        <v>2</v>
      </c>
      <c r="HK85" s="15">
        <v>2</v>
      </c>
      <c r="HL85" s="15">
        <v>2</v>
      </c>
      <c r="HM85" s="15">
        <v>3</v>
      </c>
      <c r="HN85" s="15">
        <v>3</v>
      </c>
      <c r="HO85" s="15">
        <v>2</v>
      </c>
      <c r="HP85" s="15">
        <v>2</v>
      </c>
      <c r="HQ85" s="15">
        <v>2</v>
      </c>
      <c r="HR85" s="15">
        <v>3</v>
      </c>
      <c r="HS85" s="15">
        <v>4</v>
      </c>
      <c r="HT85" s="15">
        <v>5</v>
      </c>
      <c r="HU85" s="15">
        <v>2</v>
      </c>
      <c r="HV85" s="15">
        <v>2</v>
      </c>
      <c r="HW85" s="15">
        <v>3.5</v>
      </c>
      <c r="HX85" s="15">
        <v>4.25</v>
      </c>
      <c r="HY85" s="15">
        <v>3.75</v>
      </c>
      <c r="HZ85" s="15">
        <v>3.75</v>
      </c>
      <c r="IA85" s="15">
        <v>3.5</v>
      </c>
      <c r="IB85" s="15">
        <v>3.75</v>
      </c>
      <c r="IC85" s="15">
        <v>2.75</v>
      </c>
      <c r="ID85" s="15">
        <v>2</v>
      </c>
      <c r="IE85" s="15">
        <v>1.25</v>
      </c>
      <c r="IF85" s="15">
        <v>2</v>
      </c>
      <c r="IG85" s="15">
        <v>3</v>
      </c>
      <c r="IH85" s="15">
        <v>2.25</v>
      </c>
      <c r="II85" s="15">
        <v>4</v>
      </c>
      <c r="IJ85" s="15">
        <v>4</v>
      </c>
      <c r="IK85" s="15">
        <v>4</v>
      </c>
      <c r="IL85" s="15">
        <v>3.5</v>
      </c>
      <c r="IM85" s="15">
        <v>3.5</v>
      </c>
      <c r="IN85" s="15">
        <v>4.5</v>
      </c>
      <c r="IO85" s="15">
        <v>3.25</v>
      </c>
      <c r="IP85" s="15">
        <v>4</v>
      </c>
      <c r="IQ85" s="15">
        <v>4</v>
      </c>
      <c r="IR85" s="15">
        <v>4</v>
      </c>
      <c r="IS85" s="15">
        <v>3.75</v>
      </c>
      <c r="IT85" s="15">
        <v>2.5</v>
      </c>
      <c r="IU85" s="15">
        <v>3.5</v>
      </c>
      <c r="IV85" s="15">
        <v>4.25</v>
      </c>
      <c r="IW85" s="15">
        <v>4</v>
      </c>
      <c r="IX85" s="15">
        <v>3.75</v>
      </c>
      <c r="IY85" s="15">
        <v>3.5</v>
      </c>
      <c r="IZ85" s="15">
        <v>4.25</v>
      </c>
    </row>
    <row r="86" spans="1:260" s="12" customFormat="1" x14ac:dyDescent="0.3">
      <c r="A86" s="15">
        <v>89</v>
      </c>
      <c r="B86" s="15" t="s">
        <v>469</v>
      </c>
      <c r="C86" s="16">
        <v>36</v>
      </c>
      <c r="D86" s="15" t="s">
        <v>258</v>
      </c>
      <c r="E86" s="15" t="s">
        <v>259</v>
      </c>
      <c r="F86" s="15" t="s">
        <v>260</v>
      </c>
      <c r="G86" s="15" t="s">
        <v>283</v>
      </c>
      <c r="H86" s="15" t="s">
        <v>269</v>
      </c>
      <c r="I86" s="15" t="s">
        <v>270</v>
      </c>
      <c r="J86" s="15" t="s">
        <v>427</v>
      </c>
      <c r="K86" s="15" t="s">
        <v>272</v>
      </c>
      <c r="L86" s="15" t="s">
        <v>321</v>
      </c>
      <c r="M86" s="15" t="s">
        <v>428</v>
      </c>
      <c r="N86" s="15"/>
      <c r="O86" s="15"/>
      <c r="P86" s="15"/>
      <c r="Q86" s="15"/>
      <c r="R86" s="15"/>
      <c r="S86" s="15"/>
      <c r="T86" s="15"/>
      <c r="U86" s="15"/>
      <c r="V86" s="15">
        <v>1</v>
      </c>
      <c r="W86" s="15">
        <f>1/8</f>
        <v>0.125</v>
      </c>
      <c r="X86" s="15"/>
      <c r="Y86" s="15">
        <f>1.0025</f>
        <v>1.0024999999999999</v>
      </c>
      <c r="Z86" s="15"/>
      <c r="AA86" s="15"/>
      <c r="AB86" s="15"/>
      <c r="AC86" s="15"/>
      <c r="AD86" s="15">
        <v>0</v>
      </c>
      <c r="AE86" s="15">
        <f t="shared" si="27"/>
        <v>1</v>
      </c>
      <c r="AF86" s="15">
        <f>5270.716/1000</f>
        <v>5.2707160000000002</v>
      </c>
      <c r="AG86" s="15">
        <f>0</f>
        <v>0</v>
      </c>
      <c r="AH86" s="15">
        <v>1</v>
      </c>
      <c r="AI86" s="15">
        <v>0</v>
      </c>
      <c r="AJ86" s="15">
        <f>5/5</f>
        <v>1</v>
      </c>
      <c r="AK86" s="15"/>
      <c r="AL86" s="15"/>
      <c r="AM86" s="15"/>
      <c r="AN86" s="15"/>
      <c r="AO86" s="15">
        <v>0</v>
      </c>
      <c r="AP86" s="15">
        <f>3/3</f>
        <v>1</v>
      </c>
      <c r="AQ86" s="15">
        <f>12103.55/1000</f>
        <v>12.103549999999998</v>
      </c>
      <c r="AR86" s="15">
        <f>0.5425</f>
        <v>0.54249999999999998</v>
      </c>
      <c r="AS86" s="15">
        <v>0</v>
      </c>
      <c r="AT86" s="15"/>
      <c r="AU86" s="15"/>
      <c r="AV86" s="15"/>
      <c r="AW86" s="15"/>
      <c r="AX86" s="15"/>
      <c r="AY86" s="15"/>
      <c r="AZ86" s="15">
        <v>0</v>
      </c>
      <c r="BA86" s="15">
        <f t="shared" si="28"/>
        <v>1</v>
      </c>
      <c r="BB86" s="15">
        <f>6136.775/1000</f>
        <v>6.1367749999999992</v>
      </c>
      <c r="BC86" s="15">
        <v>0</v>
      </c>
      <c r="BD86" s="15">
        <v>0</v>
      </c>
      <c r="BE86" s="15"/>
      <c r="BF86" s="15"/>
      <c r="BG86" s="15"/>
      <c r="BH86" s="15"/>
      <c r="BI86" s="15"/>
      <c r="BJ86" s="15"/>
      <c r="BK86" s="15">
        <v>0</v>
      </c>
      <c r="BL86" s="15">
        <f t="shared" si="25"/>
        <v>1</v>
      </c>
      <c r="BM86" s="15">
        <f>9438.004/1000</f>
        <v>9.4380040000000012</v>
      </c>
      <c r="BN86" s="15">
        <v>0</v>
      </c>
      <c r="BO86" s="15"/>
      <c r="BP86" s="15"/>
      <c r="BQ86" s="15"/>
      <c r="BR86" s="15"/>
      <c r="BS86" s="15">
        <v>0</v>
      </c>
      <c r="BT86" s="15">
        <f t="shared" si="29"/>
        <v>1</v>
      </c>
      <c r="BU86" s="15">
        <f>12297.97/1000</f>
        <v>12.297969999999999</v>
      </c>
      <c r="BV86" s="15">
        <v>0</v>
      </c>
      <c r="BW86" s="15">
        <v>0</v>
      </c>
      <c r="BX86" s="15"/>
      <c r="BY86" s="15"/>
      <c r="BZ86" s="15"/>
      <c r="CA86" s="15"/>
      <c r="CB86" s="15"/>
      <c r="CC86" s="15"/>
      <c r="CD86" s="15">
        <v>0</v>
      </c>
      <c r="CE86" s="15">
        <f t="shared" si="30"/>
        <v>1</v>
      </c>
      <c r="CF86" s="15">
        <f>11358.56/1000</f>
        <v>11.358559999999999</v>
      </c>
      <c r="CG86" s="15">
        <f>0.03</f>
        <v>0.03</v>
      </c>
      <c r="CH86" s="15">
        <v>0</v>
      </c>
      <c r="CI86" s="15"/>
      <c r="CJ86" s="15"/>
      <c r="CK86" s="15">
        <f t="shared" si="22"/>
        <v>56.605574999999995</v>
      </c>
      <c r="CL86" s="15">
        <f>1/8</f>
        <v>0.125</v>
      </c>
      <c r="CM86" s="15">
        <v>0</v>
      </c>
      <c r="CN86" s="15">
        <v>1</v>
      </c>
      <c r="CO86" s="15">
        <f>Table1[[#This Row],[TotalTrapsRisked]]/5</f>
        <v>0.2</v>
      </c>
      <c r="CP86" s="15">
        <v>0</v>
      </c>
      <c r="CQ86" s="15">
        <v>0</v>
      </c>
      <c r="CR86" s="15">
        <v>0.41666666666666669</v>
      </c>
      <c r="CS86" s="15">
        <v>0.49090909090909091</v>
      </c>
      <c r="CT86" s="15">
        <v>0</v>
      </c>
      <c r="CU86" s="15">
        <v>234</v>
      </c>
      <c r="CV86" s="15">
        <v>540</v>
      </c>
      <c r="CW86" s="15">
        <v>0</v>
      </c>
      <c r="CX86" s="15"/>
      <c r="CY86" s="15"/>
      <c r="CZ86" s="15"/>
      <c r="DA86" s="15"/>
      <c r="DB86" s="15"/>
      <c r="DC86" s="15"/>
      <c r="DD86" s="15">
        <v>0</v>
      </c>
      <c r="DE86" s="15">
        <v>0</v>
      </c>
      <c r="DF86" s="15">
        <v>5</v>
      </c>
      <c r="DG86" s="15">
        <v>2</v>
      </c>
      <c r="DH86" s="15">
        <v>3</v>
      </c>
      <c r="DI86" s="15">
        <v>1</v>
      </c>
      <c r="DJ86" s="15">
        <v>5</v>
      </c>
      <c r="DK86" s="15">
        <v>4</v>
      </c>
      <c r="DL86" s="15">
        <v>5</v>
      </c>
      <c r="DM86" s="15">
        <v>3</v>
      </c>
      <c r="DN86" s="15">
        <v>1</v>
      </c>
      <c r="DO86" s="15">
        <v>4</v>
      </c>
      <c r="DP86" s="15">
        <v>2</v>
      </c>
      <c r="DQ86" s="15">
        <v>4</v>
      </c>
      <c r="DR86" s="15">
        <v>1</v>
      </c>
      <c r="DS86" s="15">
        <v>3</v>
      </c>
      <c r="DT86" s="15">
        <v>5</v>
      </c>
      <c r="DU86" s="15">
        <v>3</v>
      </c>
      <c r="DV86" s="15">
        <v>2</v>
      </c>
      <c r="DW86" s="15">
        <v>3</v>
      </c>
      <c r="DX86" s="15">
        <v>4</v>
      </c>
      <c r="DY86" s="15">
        <v>5</v>
      </c>
      <c r="DZ86" s="15">
        <v>3</v>
      </c>
      <c r="EA86" s="15">
        <v>5</v>
      </c>
      <c r="EB86" s="15">
        <v>4</v>
      </c>
      <c r="EC86" s="15">
        <v>3</v>
      </c>
      <c r="ED86" s="15">
        <v>3</v>
      </c>
      <c r="EE86" s="15">
        <v>1</v>
      </c>
      <c r="EF86" s="15">
        <v>2</v>
      </c>
      <c r="EG86" s="15">
        <v>3</v>
      </c>
      <c r="EH86" s="15">
        <v>2</v>
      </c>
      <c r="EI86" s="15">
        <v>1</v>
      </c>
      <c r="EJ86" s="15">
        <v>3</v>
      </c>
      <c r="EK86" s="15">
        <v>1</v>
      </c>
      <c r="EL86" s="15">
        <v>3</v>
      </c>
      <c r="EM86" s="15">
        <v>1</v>
      </c>
      <c r="EN86" s="15">
        <v>3</v>
      </c>
      <c r="EO86" s="15">
        <v>3</v>
      </c>
      <c r="EP86" s="15">
        <v>3</v>
      </c>
      <c r="EQ86" s="15">
        <v>4</v>
      </c>
      <c r="ER86" s="15">
        <v>3</v>
      </c>
      <c r="ES86" s="15">
        <v>1</v>
      </c>
      <c r="ET86" s="15">
        <v>1</v>
      </c>
      <c r="EU86" s="15">
        <v>4</v>
      </c>
      <c r="EV86" s="15">
        <v>1</v>
      </c>
      <c r="EW86" s="15">
        <v>4</v>
      </c>
      <c r="EX86" s="15">
        <v>5</v>
      </c>
      <c r="EY86" s="15">
        <v>5</v>
      </c>
      <c r="EZ86" s="15">
        <v>3</v>
      </c>
      <c r="FA86" s="15">
        <v>2</v>
      </c>
      <c r="FB86" s="15">
        <v>3</v>
      </c>
      <c r="FC86" s="15">
        <v>4</v>
      </c>
      <c r="FD86" s="15">
        <v>3</v>
      </c>
      <c r="FE86" s="15">
        <v>3</v>
      </c>
      <c r="FF86" s="15">
        <v>5</v>
      </c>
      <c r="FG86" s="15">
        <v>4</v>
      </c>
      <c r="FH86" s="15">
        <v>4</v>
      </c>
      <c r="FI86" s="15">
        <v>2</v>
      </c>
      <c r="FJ86" s="15">
        <v>3</v>
      </c>
      <c r="FK86" s="15">
        <v>1</v>
      </c>
      <c r="FL86" s="15">
        <v>3</v>
      </c>
      <c r="FM86" s="15">
        <v>1</v>
      </c>
      <c r="FN86" s="15">
        <v>2</v>
      </c>
      <c r="FO86" s="15">
        <v>4</v>
      </c>
      <c r="FP86" s="15">
        <v>3</v>
      </c>
      <c r="FQ86" s="15">
        <v>2</v>
      </c>
      <c r="FR86" s="15">
        <v>5</v>
      </c>
      <c r="FS86" s="15">
        <v>4</v>
      </c>
      <c r="FT86" s="15">
        <v>4</v>
      </c>
      <c r="FU86" s="15">
        <v>3</v>
      </c>
      <c r="FV86" s="15">
        <v>4</v>
      </c>
      <c r="FW86" s="15">
        <v>2</v>
      </c>
      <c r="FX86" s="15">
        <v>2</v>
      </c>
      <c r="FY86" s="15">
        <v>2</v>
      </c>
      <c r="FZ86" s="15">
        <v>4</v>
      </c>
      <c r="GA86" s="15">
        <v>2</v>
      </c>
      <c r="GB86" s="15">
        <v>3</v>
      </c>
      <c r="GC86" s="15">
        <v>3</v>
      </c>
      <c r="GD86" s="15">
        <v>2</v>
      </c>
      <c r="GE86" s="15">
        <v>3</v>
      </c>
      <c r="GF86" s="15">
        <v>3</v>
      </c>
      <c r="GG86" s="15">
        <v>2</v>
      </c>
      <c r="GH86" s="15">
        <v>1</v>
      </c>
      <c r="GI86" s="15">
        <v>2</v>
      </c>
      <c r="GJ86" s="15">
        <v>2</v>
      </c>
      <c r="GK86" s="15">
        <v>5</v>
      </c>
      <c r="GL86" s="15">
        <v>3</v>
      </c>
      <c r="GM86" s="15">
        <v>1</v>
      </c>
      <c r="GN86" s="15">
        <v>1</v>
      </c>
      <c r="GO86" s="15">
        <v>3</v>
      </c>
      <c r="GP86" s="15">
        <v>3</v>
      </c>
      <c r="GQ86" s="15">
        <v>3</v>
      </c>
      <c r="GR86" s="15">
        <v>2</v>
      </c>
      <c r="GS86" s="15">
        <v>3</v>
      </c>
      <c r="GT86" s="15">
        <v>4</v>
      </c>
      <c r="GU86" s="15">
        <v>4</v>
      </c>
      <c r="GV86" s="15">
        <v>5</v>
      </c>
      <c r="GW86" s="15">
        <v>4</v>
      </c>
      <c r="GX86" s="15">
        <v>3</v>
      </c>
      <c r="GY86" s="15">
        <v>3</v>
      </c>
      <c r="GZ86" s="15">
        <v>4</v>
      </c>
      <c r="HA86" s="15">
        <v>1</v>
      </c>
      <c r="HB86" s="15">
        <v>1</v>
      </c>
      <c r="HC86" s="15">
        <v>4</v>
      </c>
      <c r="HD86" s="15">
        <v>3</v>
      </c>
      <c r="HE86" s="15">
        <v>4</v>
      </c>
      <c r="HF86" s="15">
        <v>2</v>
      </c>
      <c r="HG86" s="15">
        <v>1</v>
      </c>
      <c r="HH86" s="15">
        <v>3</v>
      </c>
      <c r="HI86" s="15">
        <v>3</v>
      </c>
      <c r="HJ86" s="15">
        <v>4</v>
      </c>
      <c r="HK86" s="15">
        <v>3</v>
      </c>
      <c r="HL86" s="15">
        <v>1</v>
      </c>
      <c r="HM86" s="15">
        <v>4</v>
      </c>
      <c r="HN86" s="15">
        <v>1</v>
      </c>
      <c r="HO86" s="15">
        <v>4</v>
      </c>
      <c r="HP86" s="15">
        <v>2</v>
      </c>
      <c r="HQ86" s="15">
        <v>2</v>
      </c>
      <c r="HR86" s="15">
        <v>4</v>
      </c>
      <c r="HS86" s="15">
        <v>3</v>
      </c>
      <c r="HT86" s="15">
        <v>4</v>
      </c>
      <c r="HU86" s="15">
        <v>2</v>
      </c>
      <c r="HV86" s="15">
        <v>1</v>
      </c>
      <c r="HW86" s="15">
        <v>4.25</v>
      </c>
      <c r="HX86" s="15">
        <v>4.5</v>
      </c>
      <c r="HY86" s="15">
        <v>4.5</v>
      </c>
      <c r="HZ86" s="15">
        <v>4.75</v>
      </c>
      <c r="IA86" s="15">
        <v>4</v>
      </c>
      <c r="IB86" s="15">
        <v>4.75</v>
      </c>
      <c r="IC86" s="15">
        <v>3.25</v>
      </c>
      <c r="ID86" s="15">
        <v>3.5</v>
      </c>
      <c r="IE86" s="15">
        <v>1.75</v>
      </c>
      <c r="IF86" s="15">
        <v>3.25</v>
      </c>
      <c r="IG86" s="15">
        <v>3</v>
      </c>
      <c r="IH86" s="15">
        <v>1.5</v>
      </c>
      <c r="II86" s="15">
        <v>1.75</v>
      </c>
      <c r="IJ86" s="15">
        <v>3.25</v>
      </c>
      <c r="IK86" s="15">
        <v>3.75</v>
      </c>
      <c r="IL86" s="15">
        <v>2.75</v>
      </c>
      <c r="IM86" s="15">
        <v>2.75</v>
      </c>
      <c r="IN86" s="15">
        <v>2.75</v>
      </c>
      <c r="IO86" s="15">
        <v>3.25</v>
      </c>
      <c r="IP86" s="15">
        <v>3</v>
      </c>
      <c r="IQ86" s="15">
        <v>2</v>
      </c>
      <c r="IR86" s="15">
        <v>3</v>
      </c>
      <c r="IS86" s="15">
        <v>2</v>
      </c>
      <c r="IT86" s="15">
        <v>2.25</v>
      </c>
      <c r="IU86" s="15">
        <v>1.25</v>
      </c>
      <c r="IV86" s="15">
        <v>4.25</v>
      </c>
      <c r="IW86" s="15">
        <v>3.5</v>
      </c>
      <c r="IX86" s="15">
        <v>3</v>
      </c>
      <c r="IY86" s="15">
        <v>3</v>
      </c>
      <c r="IZ86" s="15">
        <v>3</v>
      </c>
    </row>
    <row r="87" spans="1:260" s="12" customFormat="1" x14ac:dyDescent="0.3">
      <c r="A87" s="15">
        <v>91</v>
      </c>
      <c r="B87" s="15" t="s">
        <v>467</v>
      </c>
      <c r="C87" s="16">
        <v>26</v>
      </c>
      <c r="D87" s="15" t="s">
        <v>288</v>
      </c>
      <c r="E87" s="15" t="s">
        <v>259</v>
      </c>
      <c r="F87" s="15" t="s">
        <v>260</v>
      </c>
      <c r="G87" s="15" t="s">
        <v>268</v>
      </c>
      <c r="H87" s="15" t="s">
        <v>316</v>
      </c>
      <c r="I87" s="15" t="s">
        <v>270</v>
      </c>
      <c r="J87" s="15" t="s">
        <v>429</v>
      </c>
      <c r="K87" s="15" t="s">
        <v>342</v>
      </c>
      <c r="L87" s="15" t="s">
        <v>281</v>
      </c>
      <c r="M87" s="15" t="s">
        <v>304</v>
      </c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>
        <v>0</v>
      </c>
      <c r="AE87" s="15">
        <f t="shared" si="27"/>
        <v>1</v>
      </c>
      <c r="AF87" s="15">
        <f>9354.626/1000</f>
        <v>9.3546259999999997</v>
      </c>
      <c r="AG87" s="15">
        <v>0</v>
      </c>
      <c r="AH87" s="15">
        <v>0</v>
      </c>
      <c r="AI87" s="15"/>
      <c r="AJ87" s="15"/>
      <c r="AK87" s="15">
        <v>2</v>
      </c>
      <c r="AL87" s="15">
        <f>0</f>
        <v>0</v>
      </c>
      <c r="AM87" s="15"/>
      <c r="AN87" s="15">
        <f>2.2</f>
        <v>2.2000000000000002</v>
      </c>
      <c r="AO87" s="15">
        <v>0</v>
      </c>
      <c r="AP87" s="15">
        <f>1/3</f>
        <v>0.33333333333333331</v>
      </c>
      <c r="AQ87" s="15">
        <f>19280.06/1000</f>
        <v>19.280060000000002</v>
      </c>
      <c r="AR87" s="15">
        <f>0.1625</f>
        <v>0.16250000000000001</v>
      </c>
      <c r="AS87" s="15">
        <v>0</v>
      </c>
      <c r="AT87" s="15"/>
      <c r="AU87" s="15"/>
      <c r="AV87" s="15"/>
      <c r="AW87" s="15"/>
      <c r="AX87" s="15"/>
      <c r="AY87" s="15"/>
      <c r="AZ87" s="15">
        <v>0</v>
      </c>
      <c r="BA87" s="15">
        <f t="shared" si="28"/>
        <v>1</v>
      </c>
      <c r="BB87" s="15">
        <f>11440.38/1000</f>
        <v>11.440379999999999</v>
      </c>
      <c r="BC87" s="15">
        <v>0</v>
      </c>
      <c r="BD87" s="15">
        <v>0</v>
      </c>
      <c r="BE87" s="15"/>
      <c r="BF87" s="15"/>
      <c r="BG87" s="15"/>
      <c r="BH87" s="15"/>
      <c r="BI87" s="15"/>
      <c r="BJ87" s="15"/>
      <c r="BK87" s="15">
        <v>0</v>
      </c>
      <c r="BL87" s="15">
        <f t="shared" si="25"/>
        <v>1</v>
      </c>
      <c r="BM87" s="15">
        <f>19150.33/1000</f>
        <v>19.15033</v>
      </c>
      <c r="BN87" s="15">
        <f>0.095</f>
        <v>9.5000000000000001E-2</v>
      </c>
      <c r="BO87" s="15"/>
      <c r="BP87" s="15"/>
      <c r="BQ87" s="15"/>
      <c r="BR87" s="15"/>
      <c r="BS87" s="15">
        <v>0</v>
      </c>
      <c r="BT87" s="15">
        <f t="shared" si="29"/>
        <v>1</v>
      </c>
      <c r="BU87" s="15">
        <f>21980.72/1000</f>
        <v>21.980720000000002</v>
      </c>
      <c r="BV87" s="15">
        <f>0</f>
        <v>0</v>
      </c>
      <c r="BW87" s="15">
        <v>0</v>
      </c>
      <c r="BX87" s="15"/>
      <c r="BY87" s="15"/>
      <c r="BZ87" s="15"/>
      <c r="CA87" s="15"/>
      <c r="CB87" s="15"/>
      <c r="CC87" s="15"/>
      <c r="CD87" s="15">
        <v>0</v>
      </c>
      <c r="CE87" s="15">
        <f t="shared" si="30"/>
        <v>1</v>
      </c>
      <c r="CF87" s="15">
        <f>28609.72/1000</f>
        <v>28.609720000000003</v>
      </c>
      <c r="CG87" s="15">
        <f>0.185</f>
        <v>0.185</v>
      </c>
      <c r="CH87" s="15">
        <v>0</v>
      </c>
      <c r="CI87" s="15"/>
      <c r="CJ87" s="15"/>
      <c r="CK87" s="15">
        <f t="shared" si="22"/>
        <v>109.81583600000002</v>
      </c>
      <c r="CL87" s="15">
        <f>1/8</f>
        <v>0.125</v>
      </c>
      <c r="CM87" s="15">
        <v>0</v>
      </c>
      <c r="CN87" s="15">
        <v>0</v>
      </c>
      <c r="CO87" s="15">
        <f>Table1[[#This Row],[TotalTrapsRisked]]/5</f>
        <v>0</v>
      </c>
      <c r="CP87" s="15">
        <v>0</v>
      </c>
      <c r="CQ87" s="15">
        <v>0</v>
      </c>
      <c r="CR87" s="15">
        <v>0.5</v>
      </c>
      <c r="CS87" s="15">
        <v>0.77272727272727271</v>
      </c>
      <c r="CT87" s="15">
        <v>2</v>
      </c>
      <c r="CU87" s="15">
        <v>232</v>
      </c>
      <c r="CV87" s="15">
        <v>1050</v>
      </c>
      <c r="CW87" s="15">
        <v>2</v>
      </c>
      <c r="CX87" s="15"/>
      <c r="CY87" s="15"/>
      <c r="CZ87" s="15"/>
      <c r="DA87" s="15"/>
      <c r="DB87" s="15"/>
      <c r="DC87" s="15"/>
      <c r="DD87" s="15">
        <v>0</v>
      </c>
      <c r="DE87" s="15">
        <v>0</v>
      </c>
      <c r="DF87" s="15">
        <v>5</v>
      </c>
      <c r="DG87" s="15">
        <v>5</v>
      </c>
      <c r="DH87" s="15">
        <v>5</v>
      </c>
      <c r="DI87" s="15">
        <v>3</v>
      </c>
      <c r="DJ87" s="15">
        <v>5</v>
      </c>
      <c r="DK87" s="15">
        <v>3</v>
      </c>
      <c r="DL87" s="15">
        <v>3</v>
      </c>
      <c r="DM87" s="15">
        <v>5</v>
      </c>
      <c r="DN87" s="15">
        <v>2</v>
      </c>
      <c r="DO87" s="15">
        <v>5</v>
      </c>
      <c r="DP87" s="15">
        <v>5</v>
      </c>
      <c r="DQ87" s="15">
        <v>5</v>
      </c>
      <c r="DR87" s="15">
        <v>5</v>
      </c>
      <c r="DS87" s="15">
        <v>5</v>
      </c>
      <c r="DT87" s="15">
        <v>5</v>
      </c>
      <c r="DU87" s="15">
        <v>4</v>
      </c>
      <c r="DV87" s="15">
        <v>5</v>
      </c>
      <c r="DW87" s="15">
        <v>2</v>
      </c>
      <c r="DX87" s="15">
        <v>1</v>
      </c>
      <c r="DY87" s="15">
        <v>5</v>
      </c>
      <c r="DZ87" s="15">
        <v>4</v>
      </c>
      <c r="EA87" s="15">
        <v>5</v>
      </c>
      <c r="EB87" s="15">
        <v>4</v>
      </c>
      <c r="EC87" s="15">
        <v>1</v>
      </c>
      <c r="ED87" s="15">
        <v>1</v>
      </c>
      <c r="EE87" s="15">
        <v>3</v>
      </c>
      <c r="EF87" s="15">
        <v>3</v>
      </c>
      <c r="EG87" s="15">
        <v>4</v>
      </c>
      <c r="EH87" s="15">
        <v>5</v>
      </c>
      <c r="EI87" s="15">
        <v>1</v>
      </c>
      <c r="EJ87" s="15">
        <v>5</v>
      </c>
      <c r="EK87" s="15">
        <v>3</v>
      </c>
      <c r="EL87" s="15">
        <v>1</v>
      </c>
      <c r="EM87" s="15">
        <v>2</v>
      </c>
      <c r="EN87" s="15">
        <v>2</v>
      </c>
      <c r="EO87" s="15">
        <v>2</v>
      </c>
      <c r="EP87" s="15">
        <v>1</v>
      </c>
      <c r="EQ87" s="15">
        <v>5</v>
      </c>
      <c r="ER87" s="15">
        <v>1</v>
      </c>
      <c r="ES87" s="15">
        <v>1</v>
      </c>
      <c r="ET87" s="15">
        <v>2</v>
      </c>
      <c r="EU87" s="15">
        <v>4</v>
      </c>
      <c r="EV87" s="15">
        <v>5</v>
      </c>
      <c r="EW87" s="15">
        <v>5</v>
      </c>
      <c r="EX87" s="15">
        <v>5</v>
      </c>
      <c r="EY87" s="15">
        <v>5</v>
      </c>
      <c r="EZ87" s="15">
        <v>5</v>
      </c>
      <c r="FA87" s="15">
        <v>4</v>
      </c>
      <c r="FB87" s="15">
        <v>2</v>
      </c>
      <c r="FC87" s="15">
        <v>4</v>
      </c>
      <c r="FD87" s="15">
        <v>3</v>
      </c>
      <c r="FE87" s="15">
        <v>4</v>
      </c>
      <c r="FF87" s="15">
        <v>5</v>
      </c>
      <c r="FG87" s="15">
        <v>2</v>
      </c>
      <c r="FH87" s="15">
        <v>4</v>
      </c>
      <c r="FI87" s="15">
        <v>4</v>
      </c>
      <c r="FJ87" s="15">
        <v>3</v>
      </c>
      <c r="FK87" s="15">
        <v>5</v>
      </c>
      <c r="FL87" s="15">
        <v>5</v>
      </c>
      <c r="FM87" s="15">
        <v>1</v>
      </c>
      <c r="FN87" s="15">
        <v>5</v>
      </c>
      <c r="FO87" s="15">
        <v>3</v>
      </c>
      <c r="FP87" s="15">
        <v>5</v>
      </c>
      <c r="FQ87" s="15">
        <v>2</v>
      </c>
      <c r="FR87" s="15">
        <v>4</v>
      </c>
      <c r="FS87" s="15">
        <v>2</v>
      </c>
      <c r="FT87" s="15">
        <v>4</v>
      </c>
      <c r="FU87" s="15">
        <v>1</v>
      </c>
      <c r="FV87" s="15">
        <v>4</v>
      </c>
      <c r="FW87" s="15">
        <v>1</v>
      </c>
      <c r="FX87" s="15">
        <v>1</v>
      </c>
      <c r="FY87" s="15">
        <v>5</v>
      </c>
      <c r="FZ87" s="15">
        <v>4</v>
      </c>
      <c r="GA87" s="15">
        <v>2</v>
      </c>
      <c r="GB87" s="15">
        <v>1</v>
      </c>
      <c r="GC87" s="15">
        <v>1</v>
      </c>
      <c r="GD87" s="15">
        <v>5</v>
      </c>
      <c r="GE87" s="15">
        <v>2</v>
      </c>
      <c r="GF87" s="15">
        <v>4</v>
      </c>
      <c r="GG87" s="15">
        <v>1</v>
      </c>
      <c r="GH87" s="15">
        <v>1</v>
      </c>
      <c r="GI87" s="15">
        <v>2</v>
      </c>
      <c r="GJ87" s="15">
        <v>2</v>
      </c>
      <c r="GK87" s="15">
        <v>4</v>
      </c>
      <c r="GL87" s="15">
        <v>1</v>
      </c>
      <c r="GM87" s="15">
        <v>3</v>
      </c>
      <c r="GN87" s="15">
        <v>4</v>
      </c>
      <c r="GO87" s="15">
        <v>3</v>
      </c>
      <c r="GP87" s="15">
        <v>1</v>
      </c>
      <c r="GQ87" s="15">
        <v>1</v>
      </c>
      <c r="GR87" s="15">
        <v>1</v>
      </c>
      <c r="GS87" s="15">
        <v>5</v>
      </c>
      <c r="GT87" s="15">
        <v>4</v>
      </c>
      <c r="GU87" s="15">
        <v>1</v>
      </c>
      <c r="GV87" s="15">
        <v>4</v>
      </c>
      <c r="GW87" s="15">
        <v>4</v>
      </c>
      <c r="GX87" s="15">
        <v>4</v>
      </c>
      <c r="GY87" s="15">
        <v>5</v>
      </c>
      <c r="GZ87" s="15">
        <v>4</v>
      </c>
      <c r="HA87" s="15">
        <v>1</v>
      </c>
      <c r="HB87" s="15">
        <v>1</v>
      </c>
      <c r="HC87" s="15">
        <v>2</v>
      </c>
      <c r="HD87" s="15">
        <v>1</v>
      </c>
      <c r="HE87" s="15">
        <v>1</v>
      </c>
      <c r="HF87" s="15">
        <v>1</v>
      </c>
      <c r="HG87" s="15">
        <v>1</v>
      </c>
      <c r="HH87" s="15">
        <v>1</v>
      </c>
      <c r="HI87" s="15">
        <v>5</v>
      </c>
      <c r="HJ87" s="15">
        <v>3</v>
      </c>
      <c r="HK87" s="15">
        <v>1</v>
      </c>
      <c r="HL87" s="15">
        <v>1</v>
      </c>
      <c r="HM87" s="15">
        <v>4</v>
      </c>
      <c r="HN87" s="15">
        <v>1</v>
      </c>
      <c r="HO87" s="15">
        <v>4</v>
      </c>
      <c r="HP87" s="15">
        <v>1</v>
      </c>
      <c r="HQ87" s="15">
        <v>2</v>
      </c>
      <c r="HR87" s="15">
        <v>2</v>
      </c>
      <c r="HS87" s="15">
        <v>4</v>
      </c>
      <c r="HT87" s="15">
        <v>2</v>
      </c>
      <c r="HU87" s="15">
        <v>5</v>
      </c>
      <c r="HV87" s="15">
        <v>1</v>
      </c>
      <c r="HW87" s="15">
        <v>3.75</v>
      </c>
      <c r="HX87" s="15">
        <v>5</v>
      </c>
      <c r="HY87" s="15">
        <v>5</v>
      </c>
      <c r="HZ87" s="15">
        <v>4.75</v>
      </c>
      <c r="IA87" s="15">
        <v>3</v>
      </c>
      <c r="IB87" s="15">
        <v>5</v>
      </c>
      <c r="IC87" s="15">
        <v>5</v>
      </c>
      <c r="ID87" s="15">
        <v>2.25</v>
      </c>
      <c r="IE87" s="15">
        <v>4</v>
      </c>
      <c r="IF87" s="15">
        <v>4.75</v>
      </c>
      <c r="IG87" s="15">
        <v>3.25</v>
      </c>
      <c r="IH87" s="15">
        <v>3.75</v>
      </c>
      <c r="II87" s="15">
        <v>3.25</v>
      </c>
      <c r="IJ87" s="15">
        <v>1.75</v>
      </c>
      <c r="IK87" s="15">
        <v>4.5</v>
      </c>
      <c r="IL87" s="15">
        <v>3.25</v>
      </c>
      <c r="IM87" s="15">
        <v>3</v>
      </c>
      <c r="IN87" s="15">
        <v>3.25</v>
      </c>
      <c r="IO87" s="15">
        <v>3</v>
      </c>
      <c r="IP87" s="15">
        <v>4.25</v>
      </c>
      <c r="IQ87" s="15">
        <v>4.75</v>
      </c>
      <c r="IR87" s="15">
        <v>2.25</v>
      </c>
      <c r="IS87" s="15">
        <v>2.25</v>
      </c>
      <c r="IT87" s="15">
        <v>4.5</v>
      </c>
      <c r="IU87" s="15">
        <v>2.25</v>
      </c>
      <c r="IV87" s="15">
        <v>4.75</v>
      </c>
      <c r="IW87" s="15">
        <v>5</v>
      </c>
      <c r="IX87" s="15">
        <v>4.75</v>
      </c>
      <c r="IY87" s="15">
        <v>4.75</v>
      </c>
      <c r="IZ87" s="15">
        <v>4</v>
      </c>
    </row>
    <row r="88" spans="1:260" s="12" customFormat="1" x14ac:dyDescent="0.3">
      <c r="A88" s="15">
        <v>92</v>
      </c>
      <c r="B88" s="15" t="s">
        <v>467</v>
      </c>
      <c r="C88" s="16">
        <v>23</v>
      </c>
      <c r="D88" s="15" t="s">
        <v>288</v>
      </c>
      <c r="E88" s="15" t="s">
        <v>259</v>
      </c>
      <c r="F88" s="15" t="s">
        <v>260</v>
      </c>
      <c r="G88" s="15" t="s">
        <v>268</v>
      </c>
      <c r="H88" s="15" t="s">
        <v>262</v>
      </c>
      <c r="I88" s="15" t="s">
        <v>270</v>
      </c>
      <c r="J88" s="15" t="s">
        <v>430</v>
      </c>
      <c r="K88" s="15" t="s">
        <v>272</v>
      </c>
      <c r="L88" s="15" t="s">
        <v>295</v>
      </c>
      <c r="M88" s="15" t="s">
        <v>293</v>
      </c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>
        <v>0</v>
      </c>
      <c r="AE88" s="15">
        <f t="shared" si="27"/>
        <v>1</v>
      </c>
      <c r="AF88" s="15">
        <f>3894.327/1000</f>
        <v>3.8943270000000001</v>
      </c>
      <c r="AG88" s="15">
        <v>0</v>
      </c>
      <c r="AH88" s="15">
        <v>0</v>
      </c>
      <c r="AI88" s="15"/>
      <c r="AJ88" s="15"/>
      <c r="AK88" s="15"/>
      <c r="AL88" s="15"/>
      <c r="AM88" s="15"/>
      <c r="AN88" s="15"/>
      <c r="AO88" s="15">
        <v>0</v>
      </c>
      <c r="AP88" s="15">
        <f>3/3</f>
        <v>1</v>
      </c>
      <c r="AQ88" s="15">
        <f>7558.109/1000</f>
        <v>7.558109</v>
      </c>
      <c r="AR88" s="15">
        <v>0</v>
      </c>
      <c r="AS88" s="15">
        <v>0</v>
      </c>
      <c r="AT88" s="15"/>
      <c r="AU88" s="15"/>
      <c r="AV88" s="15"/>
      <c r="AW88" s="15"/>
      <c r="AX88" s="15"/>
      <c r="AY88" s="15"/>
      <c r="AZ88" s="15">
        <v>0</v>
      </c>
      <c r="BA88" s="15">
        <f t="shared" si="28"/>
        <v>1</v>
      </c>
      <c r="BB88" s="15">
        <f>5358.499/1000</f>
        <v>5.3584990000000001</v>
      </c>
      <c r="BC88" s="15">
        <v>0</v>
      </c>
      <c r="BD88" s="15">
        <v>0</v>
      </c>
      <c r="BE88" s="15"/>
      <c r="BF88" s="15"/>
      <c r="BG88" s="15"/>
      <c r="BH88" s="15"/>
      <c r="BI88" s="15"/>
      <c r="BJ88" s="15"/>
      <c r="BK88" s="15">
        <v>0</v>
      </c>
      <c r="BL88" s="15">
        <f t="shared" si="25"/>
        <v>1</v>
      </c>
      <c r="BM88" s="15">
        <f>9881.06/1000</f>
        <v>9.8810599999999997</v>
      </c>
      <c r="BN88" s="15">
        <f>0</f>
        <v>0</v>
      </c>
      <c r="BO88" s="15"/>
      <c r="BP88" s="15"/>
      <c r="BQ88" s="15"/>
      <c r="BR88" s="15"/>
      <c r="BS88" s="15">
        <v>0</v>
      </c>
      <c r="BT88" s="15">
        <f>1/2</f>
        <v>0.5</v>
      </c>
      <c r="BU88" s="15">
        <f>9754.595/1000</f>
        <v>9.7545950000000001</v>
      </c>
      <c r="BV88" s="15">
        <v>0</v>
      </c>
      <c r="BW88" s="15">
        <v>0</v>
      </c>
      <c r="BX88" s="15"/>
      <c r="BY88" s="15"/>
      <c r="BZ88" s="15">
        <v>1</v>
      </c>
      <c r="CA88" s="15">
        <f>3/5</f>
        <v>0.6</v>
      </c>
      <c r="CB88" s="15"/>
      <c r="CC88" s="15">
        <f>1.05</f>
        <v>1.05</v>
      </c>
      <c r="CD88" s="15">
        <v>0</v>
      </c>
      <c r="CE88" s="15">
        <f>0</f>
        <v>0</v>
      </c>
      <c r="CF88" s="15">
        <f>11862.48/1000</f>
        <v>11.86248</v>
      </c>
      <c r="CG88" s="15">
        <f>0.0075</f>
        <v>7.4999999999999997E-3</v>
      </c>
      <c r="CH88" s="15">
        <v>0</v>
      </c>
      <c r="CI88" s="15"/>
      <c r="CJ88" s="15"/>
      <c r="CK88" s="15">
        <f t="shared" si="22"/>
        <v>48.309069999999998</v>
      </c>
      <c r="CL88" s="15">
        <f>1/8</f>
        <v>0.125</v>
      </c>
      <c r="CM88" s="15">
        <v>0</v>
      </c>
      <c r="CN88" s="15">
        <v>0</v>
      </c>
      <c r="CO88" s="15">
        <f>Table1[[#This Row],[TotalTrapsRisked]]/5</f>
        <v>0</v>
      </c>
      <c r="CP88" s="15">
        <v>0</v>
      </c>
      <c r="CQ88" s="15">
        <v>0</v>
      </c>
      <c r="CR88" s="15">
        <v>1</v>
      </c>
      <c r="CS88" s="15">
        <v>1</v>
      </c>
      <c r="CT88" s="15">
        <v>3</v>
      </c>
      <c r="CU88" s="15">
        <v>451</v>
      </c>
      <c r="CV88" s="15">
        <v>1120</v>
      </c>
      <c r="CW88" s="15">
        <v>2</v>
      </c>
      <c r="CX88" s="15"/>
      <c r="CY88" s="15"/>
      <c r="CZ88" s="15"/>
      <c r="DA88" s="15"/>
      <c r="DB88" s="15"/>
      <c r="DC88" s="15"/>
      <c r="DD88" s="15">
        <v>0</v>
      </c>
      <c r="DE88" s="15">
        <v>0</v>
      </c>
      <c r="DF88" s="15">
        <v>5</v>
      </c>
      <c r="DG88" s="15">
        <v>2</v>
      </c>
      <c r="DH88" s="15">
        <v>5</v>
      </c>
      <c r="DI88" s="15">
        <v>5</v>
      </c>
      <c r="DJ88" s="15">
        <v>4</v>
      </c>
      <c r="DK88" s="15">
        <v>4</v>
      </c>
      <c r="DL88" s="15">
        <v>1</v>
      </c>
      <c r="DM88" s="15">
        <v>4</v>
      </c>
      <c r="DN88" s="15">
        <v>1</v>
      </c>
      <c r="DO88" s="15">
        <v>1</v>
      </c>
      <c r="DP88" s="15">
        <v>5</v>
      </c>
      <c r="DQ88" s="15">
        <v>5</v>
      </c>
      <c r="DR88" s="15">
        <v>5</v>
      </c>
      <c r="DS88" s="15">
        <v>5</v>
      </c>
      <c r="DT88" s="15">
        <v>5</v>
      </c>
      <c r="DU88" s="15">
        <v>4</v>
      </c>
      <c r="DV88" s="15">
        <v>4</v>
      </c>
      <c r="DW88" s="15">
        <v>1</v>
      </c>
      <c r="DX88" s="15">
        <v>4</v>
      </c>
      <c r="DY88" s="15">
        <v>5</v>
      </c>
      <c r="DZ88" s="15">
        <v>5</v>
      </c>
      <c r="EA88" s="15">
        <v>5</v>
      </c>
      <c r="EB88" s="15">
        <v>3</v>
      </c>
      <c r="EC88" s="15">
        <v>1</v>
      </c>
      <c r="ED88" s="15">
        <v>5</v>
      </c>
      <c r="EE88" s="15">
        <v>4</v>
      </c>
      <c r="EF88" s="15">
        <v>5</v>
      </c>
      <c r="EG88" s="15">
        <v>3</v>
      </c>
      <c r="EH88" s="15">
        <v>4</v>
      </c>
      <c r="EI88" s="15">
        <v>5</v>
      </c>
      <c r="EJ88" s="15">
        <v>5</v>
      </c>
      <c r="EK88" s="15">
        <v>1</v>
      </c>
      <c r="EL88" s="15">
        <v>1</v>
      </c>
      <c r="EM88" s="15">
        <v>5</v>
      </c>
      <c r="EN88" s="15">
        <v>5</v>
      </c>
      <c r="EO88" s="15">
        <v>5</v>
      </c>
      <c r="EP88" s="15">
        <v>1</v>
      </c>
      <c r="EQ88" s="15">
        <v>5</v>
      </c>
      <c r="ER88" s="15">
        <v>2</v>
      </c>
      <c r="ES88" s="15">
        <v>5</v>
      </c>
      <c r="ET88" s="15">
        <v>4</v>
      </c>
      <c r="EU88" s="15">
        <v>2</v>
      </c>
      <c r="EV88" s="15">
        <v>5</v>
      </c>
      <c r="EW88" s="15">
        <v>5</v>
      </c>
      <c r="EX88" s="15">
        <v>5</v>
      </c>
      <c r="EY88" s="15">
        <v>5</v>
      </c>
      <c r="EZ88" s="15">
        <v>5</v>
      </c>
      <c r="FA88" s="15">
        <v>5</v>
      </c>
      <c r="FB88" s="15">
        <v>2</v>
      </c>
      <c r="FC88" s="15">
        <v>5</v>
      </c>
      <c r="FD88" s="15">
        <v>1</v>
      </c>
      <c r="FE88" s="15">
        <v>1</v>
      </c>
      <c r="FF88" s="15">
        <v>5</v>
      </c>
      <c r="FG88" s="15">
        <v>3</v>
      </c>
      <c r="FH88" s="15">
        <v>5</v>
      </c>
      <c r="FI88" s="15">
        <v>5</v>
      </c>
      <c r="FJ88" s="15">
        <v>5</v>
      </c>
      <c r="FK88" s="15">
        <v>3</v>
      </c>
      <c r="FL88" s="15">
        <v>5</v>
      </c>
      <c r="FM88" s="15">
        <v>5</v>
      </c>
      <c r="FN88" s="15">
        <v>3</v>
      </c>
      <c r="FO88" s="15">
        <v>5</v>
      </c>
      <c r="FP88" s="15">
        <v>5</v>
      </c>
      <c r="FQ88" s="15">
        <v>5</v>
      </c>
      <c r="FR88" s="15">
        <v>3</v>
      </c>
      <c r="FS88" s="15">
        <v>4</v>
      </c>
      <c r="FT88" s="15">
        <v>5</v>
      </c>
      <c r="FU88" s="15">
        <v>1</v>
      </c>
      <c r="FV88" s="15">
        <v>4</v>
      </c>
      <c r="FW88" s="15">
        <v>5</v>
      </c>
      <c r="FX88" s="15">
        <v>4</v>
      </c>
      <c r="FY88" s="15">
        <v>5</v>
      </c>
      <c r="FZ88" s="15">
        <v>5</v>
      </c>
      <c r="GA88" s="15">
        <v>5</v>
      </c>
      <c r="GB88" s="15">
        <v>1</v>
      </c>
      <c r="GC88" s="15">
        <v>3</v>
      </c>
      <c r="GD88" s="15">
        <v>5</v>
      </c>
      <c r="GE88" s="15">
        <v>1</v>
      </c>
      <c r="GF88" s="15">
        <v>5</v>
      </c>
      <c r="GG88" s="15">
        <v>1</v>
      </c>
      <c r="GH88" s="15">
        <v>1</v>
      </c>
      <c r="GI88" s="15">
        <v>1</v>
      </c>
      <c r="GJ88" s="15">
        <v>1</v>
      </c>
      <c r="GK88" s="15">
        <v>3</v>
      </c>
      <c r="GL88" s="15">
        <v>1</v>
      </c>
      <c r="GM88" s="15">
        <v>1</v>
      </c>
      <c r="GN88" s="15">
        <v>4</v>
      </c>
      <c r="GO88" s="15">
        <v>1</v>
      </c>
      <c r="GP88" s="15">
        <v>3</v>
      </c>
      <c r="GQ88" s="15">
        <v>1</v>
      </c>
      <c r="GR88" s="15">
        <v>3</v>
      </c>
      <c r="GS88" s="15">
        <v>5</v>
      </c>
      <c r="GT88" s="15">
        <v>5</v>
      </c>
      <c r="GU88" s="15">
        <v>4</v>
      </c>
      <c r="GV88" s="15">
        <v>2</v>
      </c>
      <c r="GW88" s="15">
        <v>4</v>
      </c>
      <c r="GX88" s="15">
        <v>1</v>
      </c>
      <c r="GY88" s="15">
        <v>5</v>
      </c>
      <c r="GZ88" s="15">
        <v>3</v>
      </c>
      <c r="HA88" s="15">
        <v>1</v>
      </c>
      <c r="HB88" s="15">
        <v>2</v>
      </c>
      <c r="HC88" s="15">
        <v>1</v>
      </c>
      <c r="HD88" s="15">
        <v>4</v>
      </c>
      <c r="HE88" s="15">
        <v>1</v>
      </c>
      <c r="HF88" s="15">
        <v>1</v>
      </c>
      <c r="HG88" s="15">
        <v>1</v>
      </c>
      <c r="HH88" s="15">
        <v>1</v>
      </c>
      <c r="HI88" s="15">
        <v>1</v>
      </c>
      <c r="HJ88" s="15">
        <v>3</v>
      </c>
      <c r="HK88" s="15">
        <v>1</v>
      </c>
      <c r="HL88" s="15">
        <v>1</v>
      </c>
      <c r="HM88" s="15">
        <v>1</v>
      </c>
      <c r="HN88" s="15">
        <v>4</v>
      </c>
      <c r="HO88" s="15">
        <v>1</v>
      </c>
      <c r="HP88" s="15">
        <v>1</v>
      </c>
      <c r="HQ88" s="15">
        <v>1</v>
      </c>
      <c r="HR88" s="15">
        <v>1</v>
      </c>
      <c r="HS88" s="15">
        <v>1</v>
      </c>
      <c r="HT88" s="15">
        <v>4</v>
      </c>
      <c r="HU88" s="15">
        <v>1</v>
      </c>
      <c r="HV88" s="15">
        <v>4</v>
      </c>
      <c r="HW88" s="15">
        <v>4</v>
      </c>
      <c r="HX88" s="15">
        <v>2</v>
      </c>
      <c r="HY88" s="15">
        <v>4.5</v>
      </c>
      <c r="HZ88" s="15">
        <v>5</v>
      </c>
      <c r="IA88" s="15">
        <v>5</v>
      </c>
      <c r="IB88" s="15">
        <v>1.75</v>
      </c>
      <c r="IC88" s="15">
        <v>4.5</v>
      </c>
      <c r="ID88" s="15">
        <v>4.5</v>
      </c>
      <c r="IE88" s="15">
        <v>4.75</v>
      </c>
      <c r="IF88" s="15">
        <v>4.75</v>
      </c>
      <c r="IG88" s="15">
        <v>5</v>
      </c>
      <c r="IH88" s="15">
        <v>4.5</v>
      </c>
      <c r="II88" s="15">
        <v>1.25</v>
      </c>
      <c r="IJ88" s="15">
        <v>1</v>
      </c>
      <c r="IK88" s="15">
        <v>3.5</v>
      </c>
      <c r="IL88" s="15">
        <v>3.75</v>
      </c>
      <c r="IM88" s="15">
        <v>2.75</v>
      </c>
      <c r="IN88" s="15">
        <v>3</v>
      </c>
      <c r="IO88" s="15">
        <v>3.75</v>
      </c>
      <c r="IP88" s="15">
        <v>4.25</v>
      </c>
      <c r="IQ88" s="15">
        <v>4</v>
      </c>
      <c r="IR88" s="15">
        <v>1.5</v>
      </c>
      <c r="IS88" s="15">
        <v>3</v>
      </c>
      <c r="IT88" s="15">
        <v>2.75</v>
      </c>
      <c r="IU88" s="15">
        <v>4.75</v>
      </c>
      <c r="IV88" s="15">
        <v>3.75</v>
      </c>
      <c r="IW88" s="15">
        <v>5</v>
      </c>
      <c r="IX88" s="15">
        <v>4</v>
      </c>
      <c r="IY88" s="15">
        <v>4.5</v>
      </c>
      <c r="IZ88" s="15">
        <v>4.75</v>
      </c>
    </row>
    <row r="89" spans="1:260" s="12" customFormat="1" x14ac:dyDescent="0.3">
      <c r="A89" s="15">
        <v>93</v>
      </c>
      <c r="B89" s="15" t="s">
        <v>467</v>
      </c>
      <c r="C89" s="16">
        <v>34</v>
      </c>
      <c r="D89" s="15" t="s">
        <v>288</v>
      </c>
      <c r="E89" s="15" t="s">
        <v>259</v>
      </c>
      <c r="F89" s="15" t="s">
        <v>260</v>
      </c>
      <c r="G89" s="15" t="s">
        <v>283</v>
      </c>
      <c r="H89" s="15" t="s">
        <v>262</v>
      </c>
      <c r="I89" s="15" t="s">
        <v>270</v>
      </c>
      <c r="J89" s="15" t="s">
        <v>426</v>
      </c>
      <c r="K89" s="15" t="s">
        <v>328</v>
      </c>
      <c r="L89" s="15" t="s">
        <v>295</v>
      </c>
      <c r="M89" s="15" t="s">
        <v>296</v>
      </c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>
        <v>0</v>
      </c>
      <c r="AE89" s="15">
        <f t="shared" si="27"/>
        <v>1</v>
      </c>
      <c r="AF89" s="15">
        <f>20917.27/1000</f>
        <v>20.917270000000002</v>
      </c>
      <c r="AG89" s="15">
        <v>0</v>
      </c>
      <c r="AH89" s="15">
        <v>0</v>
      </c>
      <c r="AI89" s="15"/>
      <c r="AJ89" s="15"/>
      <c r="AK89" s="15"/>
      <c r="AL89" s="15"/>
      <c r="AM89" s="15"/>
      <c r="AN89" s="15"/>
      <c r="AO89" s="15">
        <v>0</v>
      </c>
      <c r="AP89" s="15">
        <f>3/3</f>
        <v>1</v>
      </c>
      <c r="AQ89" s="15">
        <f>29198.3/1000</f>
        <v>29.1983</v>
      </c>
      <c r="AR89" s="15">
        <v>0</v>
      </c>
      <c r="AS89" s="15">
        <v>0</v>
      </c>
      <c r="AT89" s="15"/>
      <c r="AU89" s="15"/>
      <c r="AV89" s="15"/>
      <c r="AW89" s="15"/>
      <c r="AX89" s="15"/>
      <c r="AY89" s="15"/>
      <c r="AZ89" s="15">
        <v>0</v>
      </c>
      <c r="BA89" s="15">
        <f t="shared" si="28"/>
        <v>1</v>
      </c>
      <c r="BB89" s="15">
        <f>14353.69/1000</f>
        <v>14.35369</v>
      </c>
      <c r="BC89" s="15">
        <v>0</v>
      </c>
      <c r="BD89" s="15">
        <v>0</v>
      </c>
      <c r="BE89" s="15"/>
      <c r="BF89" s="15"/>
      <c r="BG89" s="15"/>
      <c r="BH89" s="15"/>
      <c r="BI89" s="15"/>
      <c r="BJ89" s="15"/>
      <c r="BK89" s="15">
        <v>0</v>
      </c>
      <c r="BL89" s="15">
        <f t="shared" si="25"/>
        <v>1</v>
      </c>
      <c r="BM89" s="15">
        <f>20499.58/1000</f>
        <v>20.499580000000002</v>
      </c>
      <c r="BN89" s="15">
        <f>0</f>
        <v>0</v>
      </c>
      <c r="BO89" s="15"/>
      <c r="BP89" s="15"/>
      <c r="BQ89" s="15"/>
      <c r="BR89" s="15"/>
      <c r="BS89" s="15">
        <v>0</v>
      </c>
      <c r="BT89" s="15">
        <f t="shared" ref="BT89:BT101" si="31">2/2</f>
        <v>1</v>
      </c>
      <c r="BU89" s="15">
        <f>53525.7/1000</f>
        <v>53.525700000000001</v>
      </c>
      <c r="BV89" s="15">
        <v>0</v>
      </c>
      <c r="BW89" s="15">
        <v>0</v>
      </c>
      <c r="BX89" s="15"/>
      <c r="BY89" s="15"/>
      <c r="BZ89" s="15"/>
      <c r="CA89" s="15"/>
      <c r="CB89" s="15"/>
      <c r="CC89" s="15"/>
      <c r="CD89" s="15">
        <v>0</v>
      </c>
      <c r="CE89" s="15">
        <f>2/2</f>
        <v>1</v>
      </c>
      <c r="CF89" s="15">
        <f>27436.64/1000</f>
        <v>27.436640000000001</v>
      </c>
      <c r="CG89" s="15">
        <f>0.9725</f>
        <v>0.97250000000000003</v>
      </c>
      <c r="CH89" s="15">
        <v>0</v>
      </c>
      <c r="CI89" s="15"/>
      <c r="CJ89" s="15"/>
      <c r="CK89" s="15">
        <f t="shared" si="22"/>
        <v>165.93118000000001</v>
      </c>
      <c r="CL89" s="15">
        <v>0</v>
      </c>
      <c r="CM89" s="15">
        <v>0</v>
      </c>
      <c r="CN89" s="15">
        <v>0</v>
      </c>
      <c r="CO89" s="15">
        <f>Table1[[#This Row],[TotalTrapsRisked]]/5</f>
        <v>0</v>
      </c>
      <c r="CP89" s="15">
        <v>0</v>
      </c>
      <c r="CQ89" s="15">
        <v>0</v>
      </c>
      <c r="CR89" s="15">
        <v>0.39583333333333331</v>
      </c>
      <c r="CS89" s="15">
        <v>0.42727272727272725</v>
      </c>
      <c r="CT89" s="15">
        <v>0</v>
      </c>
      <c r="CU89" s="15">
        <v>199</v>
      </c>
      <c r="CV89" s="15">
        <v>470</v>
      </c>
      <c r="CW89" s="15">
        <v>0</v>
      </c>
      <c r="CX89" s="15"/>
      <c r="CY89" s="15"/>
      <c r="CZ89" s="15"/>
      <c r="DA89" s="15"/>
      <c r="DB89" s="15"/>
      <c r="DC89" s="15"/>
      <c r="DD89" s="15">
        <v>0</v>
      </c>
      <c r="DE89" s="15">
        <v>0</v>
      </c>
      <c r="DF89" s="15">
        <v>4</v>
      </c>
      <c r="DG89" s="15">
        <v>2</v>
      </c>
      <c r="DH89" s="15">
        <v>3</v>
      </c>
      <c r="DI89" s="15">
        <v>2</v>
      </c>
      <c r="DJ89" s="15">
        <v>4</v>
      </c>
      <c r="DK89" s="15">
        <v>2</v>
      </c>
      <c r="DL89" s="15">
        <v>4</v>
      </c>
      <c r="DM89" s="15">
        <v>5</v>
      </c>
      <c r="DN89" s="15">
        <v>2</v>
      </c>
      <c r="DO89" s="15">
        <v>4</v>
      </c>
      <c r="DP89" s="15">
        <v>2</v>
      </c>
      <c r="DQ89" s="15">
        <v>4</v>
      </c>
      <c r="DR89" s="15">
        <v>3</v>
      </c>
      <c r="DS89" s="15">
        <v>4</v>
      </c>
      <c r="DT89" s="15">
        <v>5</v>
      </c>
      <c r="DU89" s="15">
        <v>3</v>
      </c>
      <c r="DV89" s="15">
        <v>3</v>
      </c>
      <c r="DW89" s="15">
        <v>3</v>
      </c>
      <c r="DX89" s="15">
        <v>1</v>
      </c>
      <c r="DY89" s="15">
        <v>4</v>
      </c>
      <c r="DZ89" s="15">
        <v>2</v>
      </c>
      <c r="EA89" s="15">
        <v>5</v>
      </c>
      <c r="EB89" s="15">
        <v>3</v>
      </c>
      <c r="EC89" s="15">
        <v>2</v>
      </c>
      <c r="ED89" s="15">
        <v>3</v>
      </c>
      <c r="EE89" s="15">
        <v>2</v>
      </c>
      <c r="EF89" s="15">
        <v>3</v>
      </c>
      <c r="EG89" s="15">
        <v>3</v>
      </c>
      <c r="EH89" s="15">
        <v>3</v>
      </c>
      <c r="EI89" s="15">
        <v>2</v>
      </c>
      <c r="EJ89" s="15">
        <v>3</v>
      </c>
      <c r="EK89" s="15">
        <v>4</v>
      </c>
      <c r="EL89" s="15">
        <v>3</v>
      </c>
      <c r="EM89" s="15">
        <v>3</v>
      </c>
      <c r="EN89" s="15">
        <v>4</v>
      </c>
      <c r="EO89" s="15">
        <v>2</v>
      </c>
      <c r="EP89" s="15">
        <v>3</v>
      </c>
      <c r="EQ89" s="15">
        <v>4</v>
      </c>
      <c r="ER89" s="15">
        <v>2</v>
      </c>
      <c r="ES89" s="15">
        <v>2</v>
      </c>
      <c r="ET89" s="15">
        <v>1</v>
      </c>
      <c r="EU89" s="15">
        <v>3</v>
      </c>
      <c r="EV89" s="15">
        <v>3</v>
      </c>
      <c r="EW89" s="15">
        <v>3</v>
      </c>
      <c r="EX89" s="15">
        <v>4</v>
      </c>
      <c r="EY89" s="15">
        <v>3</v>
      </c>
      <c r="EZ89" s="15">
        <v>3</v>
      </c>
      <c r="FA89" s="15">
        <v>2</v>
      </c>
      <c r="FB89" s="15">
        <v>1</v>
      </c>
      <c r="FC89" s="15">
        <v>3</v>
      </c>
      <c r="FD89" s="15">
        <v>4</v>
      </c>
      <c r="FE89" s="15">
        <v>4</v>
      </c>
      <c r="FF89" s="15">
        <v>3</v>
      </c>
      <c r="FG89" s="15">
        <v>3</v>
      </c>
      <c r="FH89" s="15">
        <v>5</v>
      </c>
      <c r="FI89" s="15">
        <v>2</v>
      </c>
      <c r="FJ89" s="15">
        <v>4</v>
      </c>
      <c r="FK89" s="15">
        <v>4</v>
      </c>
      <c r="FL89" s="15">
        <v>4</v>
      </c>
      <c r="FM89" s="15">
        <v>2</v>
      </c>
      <c r="FN89" s="15">
        <v>3</v>
      </c>
      <c r="FO89" s="15">
        <v>2</v>
      </c>
      <c r="FP89" s="15">
        <v>4</v>
      </c>
      <c r="FQ89" s="15">
        <v>3</v>
      </c>
      <c r="FR89" s="15">
        <v>4</v>
      </c>
      <c r="FS89" s="15">
        <v>2</v>
      </c>
      <c r="FT89" s="15">
        <v>3</v>
      </c>
      <c r="FU89" s="15">
        <v>2</v>
      </c>
      <c r="FV89" s="15">
        <v>4</v>
      </c>
      <c r="FW89" s="15">
        <v>2</v>
      </c>
      <c r="FX89" s="15">
        <v>2</v>
      </c>
      <c r="FY89" s="15">
        <v>2</v>
      </c>
      <c r="FZ89" s="15">
        <v>4</v>
      </c>
      <c r="GA89" s="15">
        <v>2</v>
      </c>
      <c r="GB89" s="15">
        <v>2</v>
      </c>
      <c r="GC89" s="15">
        <v>3</v>
      </c>
      <c r="GD89" s="15">
        <v>2</v>
      </c>
      <c r="GE89" s="15">
        <v>4</v>
      </c>
      <c r="GF89" s="15">
        <v>2</v>
      </c>
      <c r="GG89" s="15">
        <v>2</v>
      </c>
      <c r="GH89" s="15">
        <v>2</v>
      </c>
      <c r="GI89" s="15">
        <v>4</v>
      </c>
      <c r="GJ89" s="15">
        <v>3</v>
      </c>
      <c r="GK89" s="15">
        <v>3</v>
      </c>
      <c r="GL89" s="15">
        <v>4</v>
      </c>
      <c r="GM89" s="15">
        <v>2</v>
      </c>
      <c r="GN89" s="15">
        <v>1</v>
      </c>
      <c r="GO89" s="15">
        <v>4</v>
      </c>
      <c r="GP89" s="15">
        <v>1</v>
      </c>
      <c r="GQ89" s="15">
        <v>3</v>
      </c>
      <c r="GR89" s="15">
        <v>2</v>
      </c>
      <c r="GS89" s="15">
        <v>2</v>
      </c>
      <c r="GT89" s="15">
        <v>3</v>
      </c>
      <c r="GU89" s="15">
        <v>3</v>
      </c>
      <c r="GV89" s="15">
        <v>3</v>
      </c>
      <c r="GW89" s="15">
        <v>4</v>
      </c>
      <c r="GX89" s="15">
        <v>4</v>
      </c>
      <c r="GY89" s="15">
        <v>3</v>
      </c>
      <c r="GZ89" s="15">
        <v>2</v>
      </c>
      <c r="HA89" s="15">
        <v>2</v>
      </c>
      <c r="HB89" s="15">
        <v>2</v>
      </c>
      <c r="HC89" s="15">
        <v>5</v>
      </c>
      <c r="HD89" s="15">
        <v>2</v>
      </c>
      <c r="HE89" s="15">
        <v>2</v>
      </c>
      <c r="HF89" s="15">
        <v>2</v>
      </c>
      <c r="HG89" s="15">
        <v>1</v>
      </c>
      <c r="HH89" s="15">
        <v>2</v>
      </c>
      <c r="HI89" s="15">
        <v>4</v>
      </c>
      <c r="HJ89" s="15">
        <v>1</v>
      </c>
      <c r="HK89" s="15">
        <v>2</v>
      </c>
      <c r="HL89" s="15">
        <v>1</v>
      </c>
      <c r="HM89" s="15">
        <v>4</v>
      </c>
      <c r="HN89" s="15">
        <v>1</v>
      </c>
      <c r="HO89" s="15">
        <v>3</v>
      </c>
      <c r="HP89" s="15">
        <v>2</v>
      </c>
      <c r="HQ89" s="15">
        <v>1</v>
      </c>
      <c r="HR89" s="15">
        <v>3</v>
      </c>
      <c r="HS89" s="15">
        <v>4</v>
      </c>
      <c r="HT89" s="15">
        <v>5</v>
      </c>
      <c r="HU89" s="15">
        <v>3</v>
      </c>
      <c r="HV89" s="15">
        <v>1</v>
      </c>
      <c r="HW89" s="15">
        <v>4</v>
      </c>
      <c r="HX89" s="15">
        <v>4</v>
      </c>
      <c r="HY89" s="15">
        <v>4.25</v>
      </c>
      <c r="HZ89" s="15">
        <v>4</v>
      </c>
      <c r="IA89" s="15">
        <v>4.25</v>
      </c>
      <c r="IB89" s="15">
        <v>4.25</v>
      </c>
      <c r="IC89" s="15">
        <v>3</v>
      </c>
      <c r="ID89" s="15">
        <v>2</v>
      </c>
      <c r="IE89" s="15">
        <v>1.5</v>
      </c>
      <c r="IF89" s="15">
        <v>3</v>
      </c>
      <c r="IG89" s="15">
        <v>2</v>
      </c>
      <c r="IH89" s="15">
        <v>2</v>
      </c>
      <c r="II89" s="15">
        <v>3.25</v>
      </c>
      <c r="IJ89" s="15">
        <v>3.25</v>
      </c>
      <c r="IK89" s="15">
        <v>3.75</v>
      </c>
      <c r="IL89" s="15">
        <v>3</v>
      </c>
      <c r="IM89" s="15">
        <v>3.25</v>
      </c>
      <c r="IN89" s="15">
        <v>3.75</v>
      </c>
      <c r="IO89" s="15">
        <v>3.25</v>
      </c>
      <c r="IP89" s="15">
        <v>4.25</v>
      </c>
      <c r="IQ89" s="15">
        <v>3.5</v>
      </c>
      <c r="IR89" s="15">
        <v>4</v>
      </c>
      <c r="IS89" s="15">
        <v>3</v>
      </c>
      <c r="IT89" s="15">
        <v>3.25</v>
      </c>
      <c r="IU89" s="15">
        <v>2.75</v>
      </c>
      <c r="IV89" s="15">
        <v>4</v>
      </c>
      <c r="IW89" s="15">
        <v>3.75</v>
      </c>
      <c r="IX89" s="15">
        <v>4.5</v>
      </c>
      <c r="IY89" s="15">
        <v>3.25</v>
      </c>
      <c r="IZ89" s="15">
        <v>3.25</v>
      </c>
    </row>
    <row r="90" spans="1:260" s="12" customFormat="1" x14ac:dyDescent="0.3">
      <c r="A90" s="15">
        <v>94</v>
      </c>
      <c r="B90" s="15" t="s">
        <v>467</v>
      </c>
      <c r="C90" s="16">
        <v>29</v>
      </c>
      <c r="D90" s="15" t="s">
        <v>288</v>
      </c>
      <c r="E90" s="15" t="s">
        <v>259</v>
      </c>
      <c r="F90" s="15" t="s">
        <v>260</v>
      </c>
      <c r="G90" s="15" t="s">
        <v>283</v>
      </c>
      <c r="H90" s="15" t="s">
        <v>354</v>
      </c>
      <c r="I90" s="15" t="s">
        <v>270</v>
      </c>
      <c r="J90" s="15" t="s">
        <v>431</v>
      </c>
      <c r="K90" s="15" t="s">
        <v>328</v>
      </c>
      <c r="L90" s="15" t="s">
        <v>295</v>
      </c>
      <c r="M90" s="15" t="s">
        <v>432</v>
      </c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>
        <v>12</v>
      </c>
      <c r="AA90" s="15">
        <f>3/5</f>
        <v>0.6</v>
      </c>
      <c r="AB90" s="15"/>
      <c r="AC90" s="15">
        <f>1.05*11+1.1</f>
        <v>12.65</v>
      </c>
      <c r="AD90" s="15">
        <v>0</v>
      </c>
      <c r="AE90" s="15">
        <f t="shared" si="27"/>
        <v>1</v>
      </c>
      <c r="AF90" s="15">
        <f>12728.23/1000</f>
        <v>12.72823</v>
      </c>
      <c r="AG90" s="15">
        <v>0</v>
      </c>
      <c r="AH90" s="15">
        <v>0</v>
      </c>
      <c r="AI90" s="15"/>
      <c r="AJ90" s="15"/>
      <c r="AK90" s="15">
        <v>15</v>
      </c>
      <c r="AL90" s="15">
        <f>3/8</f>
        <v>0.375</v>
      </c>
      <c r="AM90" s="15"/>
      <c r="AN90" s="15">
        <f>1.1*13+0.9+1</f>
        <v>16.200000000000003</v>
      </c>
      <c r="AO90" s="15">
        <v>0</v>
      </c>
      <c r="AP90" s="15">
        <f>2/3</f>
        <v>0.66666666666666663</v>
      </c>
      <c r="AQ90" s="15">
        <f>24697.26/1000</f>
        <v>24.69726</v>
      </c>
      <c r="AR90" s="15">
        <v>0.25</v>
      </c>
      <c r="AS90" s="15">
        <v>0</v>
      </c>
      <c r="AT90" s="15"/>
      <c r="AU90" s="15"/>
      <c r="AV90" s="15">
        <v>1</v>
      </c>
      <c r="AW90" s="15">
        <v>0</v>
      </c>
      <c r="AX90" s="15"/>
      <c r="AY90" s="15">
        <f>0.8</f>
        <v>0.8</v>
      </c>
      <c r="AZ90" s="15">
        <v>0</v>
      </c>
      <c r="BA90" s="15">
        <f t="shared" si="28"/>
        <v>1</v>
      </c>
      <c r="BB90" s="15">
        <f>10187.99/1000</f>
        <v>10.187989999999999</v>
      </c>
      <c r="BC90" s="15">
        <v>0</v>
      </c>
      <c r="BD90" s="15">
        <v>0</v>
      </c>
      <c r="BE90" s="15"/>
      <c r="BF90" s="15"/>
      <c r="BG90" s="15">
        <v>1</v>
      </c>
      <c r="BH90" s="15">
        <v>0</v>
      </c>
      <c r="BI90" s="15"/>
      <c r="BJ90" s="15">
        <f>1.05</f>
        <v>1.05</v>
      </c>
      <c r="BK90" s="15">
        <v>0</v>
      </c>
      <c r="BL90" s="15">
        <f t="shared" si="25"/>
        <v>1</v>
      </c>
      <c r="BM90" s="15">
        <f>17295.02/1000</f>
        <v>17.295020000000001</v>
      </c>
      <c r="BN90" s="15">
        <v>0.06</v>
      </c>
      <c r="BO90" s="15"/>
      <c r="BP90" s="15"/>
      <c r="BQ90" s="15"/>
      <c r="BR90" s="15"/>
      <c r="BS90" s="15">
        <v>0</v>
      </c>
      <c r="BT90" s="15">
        <f t="shared" si="31"/>
        <v>1</v>
      </c>
      <c r="BU90" s="15">
        <f>170646.9/1000</f>
        <v>170.64689999999999</v>
      </c>
      <c r="BV90" s="15">
        <v>0</v>
      </c>
      <c r="BW90" s="15">
        <v>3</v>
      </c>
      <c r="BX90" s="15">
        <v>3</v>
      </c>
      <c r="BY90" s="15">
        <f>5/6</f>
        <v>0.83333333333333337</v>
      </c>
      <c r="BZ90" s="15"/>
      <c r="CA90" s="15"/>
      <c r="CB90" s="15"/>
      <c r="CC90" s="15"/>
      <c r="CD90" s="15">
        <v>0</v>
      </c>
      <c r="CE90" s="15">
        <f>1/2</f>
        <v>0.5</v>
      </c>
      <c r="CF90" s="15">
        <f>17028.25/1000</f>
        <v>17.02825</v>
      </c>
      <c r="CG90" s="15">
        <v>0.34499999999999997</v>
      </c>
      <c r="CH90" s="15">
        <v>0</v>
      </c>
      <c r="CI90" s="15"/>
      <c r="CJ90" s="15"/>
      <c r="CK90" s="15">
        <f t="shared" si="22"/>
        <v>252.58364999999998</v>
      </c>
      <c r="CL90" s="15">
        <f>4/8</f>
        <v>0.5</v>
      </c>
      <c r="CM90" s="15">
        <v>2</v>
      </c>
      <c r="CN90" s="15">
        <v>1</v>
      </c>
      <c r="CO90" s="15">
        <f>Table1[[#This Row],[TotalTrapsRisked]]/5</f>
        <v>0.2</v>
      </c>
      <c r="CP90" s="15">
        <v>0</v>
      </c>
      <c r="CQ90" s="15">
        <v>0</v>
      </c>
      <c r="CR90" s="15">
        <v>8.3333333333333329E-2</v>
      </c>
      <c r="CS90" s="15">
        <v>0.33636363636363636</v>
      </c>
      <c r="CT90" s="15">
        <v>0</v>
      </c>
      <c r="CU90" s="15">
        <v>200</v>
      </c>
      <c r="CV90" s="15">
        <v>370</v>
      </c>
      <c r="CW90" s="15">
        <v>0</v>
      </c>
      <c r="CX90" s="15"/>
      <c r="CY90" s="15"/>
      <c r="CZ90" s="15"/>
      <c r="DA90" s="15"/>
      <c r="DB90" s="15"/>
      <c r="DC90" s="15"/>
      <c r="DD90" s="15">
        <v>0</v>
      </c>
      <c r="DE90" s="15">
        <v>0</v>
      </c>
      <c r="DF90" s="15">
        <v>5</v>
      </c>
      <c r="DG90" s="15">
        <v>5</v>
      </c>
      <c r="DH90" s="15">
        <v>3</v>
      </c>
      <c r="DI90" s="15">
        <v>3</v>
      </c>
      <c r="DJ90" s="15">
        <v>4</v>
      </c>
      <c r="DK90" s="15">
        <v>2</v>
      </c>
      <c r="DL90" s="15">
        <v>5</v>
      </c>
      <c r="DM90" s="15">
        <v>4</v>
      </c>
      <c r="DN90" s="15">
        <v>2</v>
      </c>
      <c r="DO90" s="15">
        <v>5</v>
      </c>
      <c r="DP90" s="15">
        <v>2</v>
      </c>
      <c r="DQ90" s="15">
        <v>4</v>
      </c>
      <c r="DR90" s="15">
        <v>4</v>
      </c>
      <c r="DS90" s="15">
        <v>5</v>
      </c>
      <c r="DT90" s="15">
        <v>4</v>
      </c>
      <c r="DU90" s="15">
        <v>2</v>
      </c>
      <c r="DV90" s="15">
        <v>4</v>
      </c>
      <c r="DW90" s="15">
        <v>2</v>
      </c>
      <c r="DX90" s="15">
        <v>2</v>
      </c>
      <c r="DY90" s="15">
        <v>4</v>
      </c>
      <c r="DZ90" s="15">
        <v>2</v>
      </c>
      <c r="EA90" s="15">
        <v>4</v>
      </c>
      <c r="EB90" s="15">
        <v>3</v>
      </c>
      <c r="EC90" s="15">
        <v>2</v>
      </c>
      <c r="ED90" s="15">
        <v>3</v>
      </c>
      <c r="EE90" s="15">
        <v>2</v>
      </c>
      <c r="EF90" s="15">
        <v>4</v>
      </c>
      <c r="EG90" s="15">
        <v>2</v>
      </c>
      <c r="EH90" s="15">
        <v>5</v>
      </c>
      <c r="EI90" s="15">
        <v>2</v>
      </c>
      <c r="EJ90" s="15">
        <v>3</v>
      </c>
      <c r="EK90" s="15">
        <v>4</v>
      </c>
      <c r="EL90" s="15">
        <v>3</v>
      </c>
      <c r="EM90" s="15">
        <v>4</v>
      </c>
      <c r="EN90" s="15">
        <v>3</v>
      </c>
      <c r="EO90" s="15">
        <v>2</v>
      </c>
      <c r="EP90" s="15">
        <v>4</v>
      </c>
      <c r="EQ90" s="15">
        <v>4</v>
      </c>
      <c r="ER90" s="15">
        <v>2</v>
      </c>
      <c r="ES90" s="15">
        <v>2</v>
      </c>
      <c r="ET90" s="15">
        <v>2</v>
      </c>
      <c r="EU90" s="15">
        <v>3</v>
      </c>
      <c r="EV90" s="15">
        <v>4</v>
      </c>
      <c r="EW90" s="15">
        <v>5</v>
      </c>
      <c r="EX90" s="15">
        <v>5</v>
      </c>
      <c r="EY90" s="15">
        <v>4</v>
      </c>
      <c r="EZ90" s="15">
        <v>3</v>
      </c>
      <c r="FA90" s="15">
        <v>4</v>
      </c>
      <c r="FB90" s="15">
        <v>1</v>
      </c>
      <c r="FC90" s="15">
        <v>4</v>
      </c>
      <c r="FD90" s="15">
        <v>4</v>
      </c>
      <c r="FE90" s="15">
        <v>3</v>
      </c>
      <c r="FF90" s="15">
        <v>4</v>
      </c>
      <c r="FG90" s="15">
        <v>3</v>
      </c>
      <c r="FH90" s="15">
        <v>4</v>
      </c>
      <c r="FI90" s="15">
        <v>2</v>
      </c>
      <c r="FJ90" s="15">
        <v>5</v>
      </c>
      <c r="FK90" s="15">
        <v>4</v>
      </c>
      <c r="FL90" s="15">
        <v>5</v>
      </c>
      <c r="FM90" s="15">
        <v>2</v>
      </c>
      <c r="FN90" s="15">
        <v>4</v>
      </c>
      <c r="FO90" s="15">
        <v>2</v>
      </c>
      <c r="FP90" s="15">
        <v>4</v>
      </c>
      <c r="FQ90" s="15">
        <v>4</v>
      </c>
      <c r="FR90" s="15">
        <v>4</v>
      </c>
      <c r="FS90" s="15">
        <v>2</v>
      </c>
      <c r="FT90" s="15">
        <v>2</v>
      </c>
      <c r="FU90" s="15">
        <v>2</v>
      </c>
      <c r="FV90" s="15">
        <v>4</v>
      </c>
      <c r="FW90" s="15">
        <v>1</v>
      </c>
      <c r="FX90" s="15">
        <v>1</v>
      </c>
      <c r="FY90" s="15">
        <v>2</v>
      </c>
      <c r="FZ90" s="15">
        <v>4</v>
      </c>
      <c r="GA90" s="15">
        <v>2</v>
      </c>
      <c r="GB90" s="15">
        <v>1</v>
      </c>
      <c r="GC90" s="15">
        <v>2</v>
      </c>
      <c r="GD90" s="15">
        <v>3</v>
      </c>
      <c r="GE90" s="15">
        <v>4</v>
      </c>
      <c r="GF90" s="15">
        <v>4</v>
      </c>
      <c r="GG90" s="15">
        <v>1</v>
      </c>
      <c r="GH90" s="15">
        <v>1</v>
      </c>
      <c r="GI90" s="15">
        <v>2</v>
      </c>
      <c r="GJ90" s="15">
        <v>2</v>
      </c>
      <c r="GK90" s="15">
        <v>2</v>
      </c>
      <c r="GL90" s="15">
        <v>3</v>
      </c>
      <c r="GM90" s="15">
        <v>3</v>
      </c>
      <c r="GN90" s="15">
        <v>2</v>
      </c>
      <c r="GO90" s="15">
        <v>5</v>
      </c>
      <c r="GP90" s="15">
        <v>3</v>
      </c>
      <c r="GQ90" s="15">
        <v>1</v>
      </c>
      <c r="GR90" s="15">
        <v>1</v>
      </c>
      <c r="GS90" s="15">
        <v>4</v>
      </c>
      <c r="GT90" s="15">
        <v>1</v>
      </c>
      <c r="GU90" s="15">
        <v>3</v>
      </c>
      <c r="GV90" s="15">
        <v>3</v>
      </c>
      <c r="GW90" s="15">
        <v>3</v>
      </c>
      <c r="GX90" s="15">
        <v>4</v>
      </c>
      <c r="GY90" s="15">
        <v>2</v>
      </c>
      <c r="GZ90" s="15">
        <v>2</v>
      </c>
      <c r="HA90" s="15">
        <v>2</v>
      </c>
      <c r="HB90" s="15">
        <v>2</v>
      </c>
      <c r="HC90" s="15">
        <v>4</v>
      </c>
      <c r="HD90" s="15">
        <v>3</v>
      </c>
      <c r="HE90" s="15">
        <v>1</v>
      </c>
      <c r="HF90" s="15">
        <v>1</v>
      </c>
      <c r="HG90" s="15">
        <v>2</v>
      </c>
      <c r="HH90" s="15">
        <v>1</v>
      </c>
      <c r="HI90" s="15">
        <v>4</v>
      </c>
      <c r="HJ90" s="15">
        <v>4</v>
      </c>
      <c r="HK90" s="15">
        <v>1</v>
      </c>
      <c r="HL90" s="15">
        <v>1</v>
      </c>
      <c r="HM90" s="15">
        <v>4</v>
      </c>
      <c r="HN90" s="15">
        <v>1</v>
      </c>
      <c r="HO90" s="15">
        <v>4</v>
      </c>
      <c r="HP90" s="15">
        <v>3</v>
      </c>
      <c r="HQ90" s="15">
        <v>2</v>
      </c>
      <c r="HR90" s="15">
        <v>5</v>
      </c>
      <c r="HS90" s="15">
        <v>5</v>
      </c>
      <c r="HT90" s="15">
        <v>4</v>
      </c>
      <c r="HU90" s="15">
        <v>1</v>
      </c>
      <c r="HV90" s="15">
        <v>1</v>
      </c>
      <c r="HW90" s="15">
        <v>3.5</v>
      </c>
      <c r="HX90" s="15">
        <v>4.5</v>
      </c>
      <c r="HY90" s="15">
        <v>4.25</v>
      </c>
      <c r="HZ90" s="15">
        <v>4.5</v>
      </c>
      <c r="IA90" s="15">
        <v>3.5</v>
      </c>
      <c r="IB90" s="15">
        <v>4.5</v>
      </c>
      <c r="IC90" s="15">
        <v>4</v>
      </c>
      <c r="ID90" s="15">
        <v>2</v>
      </c>
      <c r="IE90" s="15">
        <v>2</v>
      </c>
      <c r="IF90" s="15">
        <v>3.5</v>
      </c>
      <c r="IG90" s="15">
        <v>2.5</v>
      </c>
      <c r="IH90" s="15">
        <v>1.75</v>
      </c>
      <c r="II90" s="15">
        <v>4.5</v>
      </c>
      <c r="IJ90" s="15">
        <v>4.25</v>
      </c>
      <c r="IK90" s="15">
        <v>3.5</v>
      </c>
      <c r="IL90" s="15">
        <v>3.25</v>
      </c>
      <c r="IM90" s="15">
        <v>2.5</v>
      </c>
      <c r="IN90" s="15">
        <v>4.75</v>
      </c>
      <c r="IO90" s="15">
        <v>3.25</v>
      </c>
      <c r="IP90" s="15">
        <v>4</v>
      </c>
      <c r="IQ90" s="15">
        <v>4.25</v>
      </c>
      <c r="IR90" s="15">
        <v>2</v>
      </c>
      <c r="IS90" s="15">
        <v>2.75</v>
      </c>
      <c r="IT90" s="15">
        <v>2.75</v>
      </c>
      <c r="IU90" s="15">
        <v>3.5</v>
      </c>
      <c r="IV90" s="15">
        <v>4.25</v>
      </c>
      <c r="IW90" s="15">
        <v>5</v>
      </c>
      <c r="IX90" s="15">
        <v>4.75</v>
      </c>
      <c r="IY90" s="15">
        <v>3.25</v>
      </c>
      <c r="IZ90" s="15">
        <v>5</v>
      </c>
    </row>
    <row r="91" spans="1:260" s="12" customFormat="1" x14ac:dyDescent="0.3">
      <c r="A91" s="15">
        <v>95</v>
      </c>
      <c r="B91" s="15" t="s">
        <v>469</v>
      </c>
      <c r="C91" s="16">
        <v>30</v>
      </c>
      <c r="D91" s="15" t="s">
        <v>288</v>
      </c>
      <c r="E91" s="15" t="s">
        <v>259</v>
      </c>
      <c r="F91" s="15" t="s">
        <v>260</v>
      </c>
      <c r="G91" s="15" t="s">
        <v>261</v>
      </c>
      <c r="H91" s="15" t="s">
        <v>291</v>
      </c>
      <c r="I91" s="15" t="s">
        <v>270</v>
      </c>
      <c r="J91" s="15" t="s">
        <v>433</v>
      </c>
      <c r="K91" s="15" t="s">
        <v>328</v>
      </c>
      <c r="L91" s="15" t="s">
        <v>281</v>
      </c>
      <c r="M91" s="15" t="s">
        <v>434</v>
      </c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>
        <v>0</v>
      </c>
      <c r="AE91" s="15">
        <f t="shared" si="27"/>
        <v>1</v>
      </c>
      <c r="AF91" s="15">
        <f>6748.006/1000</f>
        <v>6.7480060000000002</v>
      </c>
      <c r="AG91" s="15">
        <v>0</v>
      </c>
      <c r="AH91" s="15">
        <v>0</v>
      </c>
      <c r="AI91" s="15"/>
      <c r="AJ91" s="15"/>
      <c r="AK91" s="15">
        <v>5</v>
      </c>
      <c r="AL91" s="15">
        <f>4/8</f>
        <v>0.5</v>
      </c>
      <c r="AM91" s="15"/>
      <c r="AN91" s="15">
        <f>1.1*4+1</f>
        <v>5.4</v>
      </c>
      <c r="AO91" s="15">
        <v>0</v>
      </c>
      <c r="AP91" s="15">
        <f>3/3</f>
        <v>1</v>
      </c>
      <c r="AQ91" s="15">
        <f>15380.2/1000</f>
        <v>15.3802</v>
      </c>
      <c r="AR91" s="15">
        <f>0.17</f>
        <v>0.17</v>
      </c>
      <c r="AS91" s="15">
        <v>0</v>
      </c>
      <c r="AT91" s="15"/>
      <c r="AU91" s="15"/>
      <c r="AV91" s="15">
        <v>1</v>
      </c>
      <c r="AW91" s="15">
        <v>0</v>
      </c>
      <c r="AX91" s="15"/>
      <c r="AY91" s="15">
        <f>0.9</f>
        <v>0.9</v>
      </c>
      <c r="AZ91" s="15">
        <v>0</v>
      </c>
      <c r="BA91" s="15">
        <f t="shared" si="28"/>
        <v>1</v>
      </c>
      <c r="BB91" s="15">
        <f>9408.727/1000</f>
        <v>9.4087270000000007</v>
      </c>
      <c r="BC91" s="15">
        <v>0</v>
      </c>
      <c r="BD91" s="15">
        <v>0</v>
      </c>
      <c r="BE91" s="15"/>
      <c r="BF91" s="15"/>
      <c r="BG91" s="15"/>
      <c r="BH91" s="15"/>
      <c r="BI91" s="15"/>
      <c r="BJ91" s="15"/>
      <c r="BK91" s="15">
        <v>0</v>
      </c>
      <c r="BL91" s="15">
        <f t="shared" si="25"/>
        <v>1</v>
      </c>
      <c r="BM91" s="15">
        <f>14518.16/1000</f>
        <v>14.51816</v>
      </c>
      <c r="BN91" s="15">
        <f>0.0975</f>
        <v>9.7500000000000003E-2</v>
      </c>
      <c r="BO91" s="15"/>
      <c r="BP91" s="15"/>
      <c r="BQ91" s="15"/>
      <c r="BR91" s="15"/>
      <c r="BS91" s="15">
        <v>0</v>
      </c>
      <c r="BT91" s="15">
        <f t="shared" si="31"/>
        <v>1</v>
      </c>
      <c r="BU91" s="15">
        <f>72690.92/1000</f>
        <v>72.690919999999991</v>
      </c>
      <c r="BV91" s="15">
        <v>0</v>
      </c>
      <c r="BW91" s="15">
        <v>0</v>
      </c>
      <c r="BX91" s="15"/>
      <c r="BY91" s="15"/>
      <c r="BZ91" s="15"/>
      <c r="CA91" s="15"/>
      <c r="CB91" s="15"/>
      <c r="CC91" s="15"/>
      <c r="CD91" s="15">
        <v>0</v>
      </c>
      <c r="CE91" s="15">
        <f t="shared" ref="CE91:CE100" si="32">2/2</f>
        <v>1</v>
      </c>
      <c r="CF91" s="15">
        <f>15449.43/1000</f>
        <v>15.44943</v>
      </c>
      <c r="CG91" s="15">
        <f>0.14</f>
        <v>0.14000000000000001</v>
      </c>
      <c r="CH91" s="15">
        <v>0</v>
      </c>
      <c r="CI91" s="15"/>
      <c r="CJ91" s="15"/>
      <c r="CK91" s="15">
        <f t="shared" si="22"/>
        <v>134.19544299999998</v>
      </c>
      <c r="CL91" s="15">
        <f>2/8</f>
        <v>0.25</v>
      </c>
      <c r="CM91" s="15">
        <v>2</v>
      </c>
      <c r="CN91" s="15">
        <v>0</v>
      </c>
      <c r="CO91" s="15">
        <f>Table1[[#This Row],[TotalTrapsRisked]]/5</f>
        <v>0</v>
      </c>
      <c r="CP91" s="15">
        <v>0</v>
      </c>
      <c r="CQ91" s="15">
        <v>0</v>
      </c>
      <c r="CR91" s="15">
        <v>0</v>
      </c>
      <c r="CS91" s="15">
        <v>0.30909090909090908</v>
      </c>
      <c r="CT91" s="15">
        <v>0</v>
      </c>
      <c r="CU91" s="15">
        <v>149</v>
      </c>
      <c r="CV91" s="15">
        <v>340</v>
      </c>
      <c r="CW91" s="15">
        <v>0</v>
      </c>
      <c r="CX91" s="15"/>
      <c r="CY91" s="15"/>
      <c r="CZ91" s="15"/>
      <c r="DA91" s="15"/>
      <c r="DB91" s="15"/>
      <c r="DC91" s="15"/>
      <c r="DD91" s="15">
        <v>0</v>
      </c>
      <c r="DE91" s="15">
        <v>0</v>
      </c>
      <c r="DF91" s="15">
        <v>4</v>
      </c>
      <c r="DG91" s="15">
        <v>5</v>
      </c>
      <c r="DH91" s="15">
        <v>5</v>
      </c>
      <c r="DI91" s="15">
        <v>3</v>
      </c>
      <c r="DJ91" s="15">
        <v>5</v>
      </c>
      <c r="DK91" s="15">
        <v>4</v>
      </c>
      <c r="DL91" s="15">
        <v>3</v>
      </c>
      <c r="DM91" s="15">
        <v>5</v>
      </c>
      <c r="DN91" s="15">
        <v>2</v>
      </c>
      <c r="DO91" s="15">
        <v>3</v>
      </c>
      <c r="DP91" s="15">
        <v>2</v>
      </c>
      <c r="DQ91" s="15">
        <v>4</v>
      </c>
      <c r="DR91" s="15">
        <v>5</v>
      </c>
      <c r="DS91" s="15">
        <v>3</v>
      </c>
      <c r="DT91" s="15">
        <v>4</v>
      </c>
      <c r="DU91" s="15">
        <v>3</v>
      </c>
      <c r="DV91" s="15">
        <v>2</v>
      </c>
      <c r="DW91" s="15">
        <v>3</v>
      </c>
      <c r="DX91" s="15">
        <v>3</v>
      </c>
      <c r="DY91" s="15">
        <v>4</v>
      </c>
      <c r="DZ91" s="15">
        <v>2</v>
      </c>
      <c r="EA91" s="15">
        <v>4</v>
      </c>
      <c r="EB91" s="15">
        <v>3</v>
      </c>
      <c r="EC91" s="15">
        <v>2</v>
      </c>
      <c r="ED91" s="15">
        <v>3</v>
      </c>
      <c r="EE91" s="15">
        <v>2</v>
      </c>
      <c r="EF91" s="15">
        <v>3</v>
      </c>
      <c r="EG91" s="15">
        <v>3</v>
      </c>
      <c r="EH91" s="15">
        <v>4</v>
      </c>
      <c r="EI91" s="15">
        <v>3</v>
      </c>
      <c r="EJ91" s="15">
        <v>4</v>
      </c>
      <c r="EK91" s="15">
        <v>4</v>
      </c>
      <c r="EL91" s="15">
        <v>2</v>
      </c>
      <c r="EM91" s="15">
        <v>3</v>
      </c>
      <c r="EN91" s="15">
        <v>3</v>
      </c>
      <c r="EO91" s="15">
        <v>4</v>
      </c>
      <c r="EP91" s="15">
        <v>2</v>
      </c>
      <c r="EQ91" s="15">
        <v>3</v>
      </c>
      <c r="ER91" s="15">
        <v>2</v>
      </c>
      <c r="ES91" s="15">
        <v>1</v>
      </c>
      <c r="ET91" s="15">
        <v>1</v>
      </c>
      <c r="EU91" s="15">
        <v>2</v>
      </c>
      <c r="EV91" s="15">
        <v>3</v>
      </c>
      <c r="EW91" s="15">
        <v>3</v>
      </c>
      <c r="EX91" s="15">
        <v>4</v>
      </c>
      <c r="EY91" s="15">
        <v>3</v>
      </c>
      <c r="EZ91" s="15">
        <v>4</v>
      </c>
      <c r="FA91" s="15">
        <v>3</v>
      </c>
      <c r="FB91" s="15">
        <v>2</v>
      </c>
      <c r="FC91" s="15">
        <v>3</v>
      </c>
      <c r="FD91" s="15">
        <v>3</v>
      </c>
      <c r="FE91" s="15">
        <v>3</v>
      </c>
      <c r="FF91" s="15">
        <v>3</v>
      </c>
      <c r="FG91" s="15">
        <v>2</v>
      </c>
      <c r="FH91" s="15">
        <v>3</v>
      </c>
      <c r="FI91" s="15">
        <v>2</v>
      </c>
      <c r="FJ91" s="15">
        <v>4</v>
      </c>
      <c r="FK91" s="15">
        <v>4</v>
      </c>
      <c r="FL91" s="15">
        <v>4</v>
      </c>
      <c r="FM91" s="15">
        <v>5</v>
      </c>
      <c r="FN91" s="15">
        <v>4</v>
      </c>
      <c r="FO91" s="15">
        <v>2</v>
      </c>
      <c r="FP91" s="15">
        <v>2</v>
      </c>
      <c r="FQ91" s="15">
        <v>3</v>
      </c>
      <c r="FR91" s="15">
        <v>4</v>
      </c>
      <c r="FS91" s="15">
        <v>4</v>
      </c>
      <c r="FT91" s="15">
        <v>3</v>
      </c>
      <c r="FU91" s="15">
        <v>3</v>
      </c>
      <c r="FV91" s="15">
        <v>3</v>
      </c>
      <c r="FW91" s="15">
        <v>2</v>
      </c>
      <c r="FX91" s="15">
        <v>2</v>
      </c>
      <c r="FY91" s="15">
        <v>2</v>
      </c>
      <c r="FZ91" s="15">
        <v>3</v>
      </c>
      <c r="GA91" s="15">
        <v>2</v>
      </c>
      <c r="GB91" s="15">
        <v>2</v>
      </c>
      <c r="GC91" s="15">
        <v>2</v>
      </c>
      <c r="GD91" s="15">
        <v>2</v>
      </c>
      <c r="GE91" s="15">
        <v>4</v>
      </c>
      <c r="GF91" s="15">
        <v>3</v>
      </c>
      <c r="GG91" s="15">
        <v>2</v>
      </c>
      <c r="GH91" s="15">
        <v>2</v>
      </c>
      <c r="GI91" s="15">
        <v>3</v>
      </c>
      <c r="GJ91" s="15">
        <v>3</v>
      </c>
      <c r="GK91" s="15">
        <v>2</v>
      </c>
      <c r="GL91" s="15">
        <v>2</v>
      </c>
      <c r="GM91" s="15">
        <v>2</v>
      </c>
      <c r="GN91" s="15">
        <v>2</v>
      </c>
      <c r="GO91" s="15">
        <v>5</v>
      </c>
      <c r="GP91" s="15">
        <v>3</v>
      </c>
      <c r="GQ91" s="15">
        <v>2</v>
      </c>
      <c r="GR91" s="15">
        <v>2</v>
      </c>
      <c r="GS91" s="15">
        <v>4</v>
      </c>
      <c r="GT91" s="15">
        <v>3</v>
      </c>
      <c r="GU91" s="15">
        <v>2</v>
      </c>
      <c r="GV91" s="15">
        <v>3</v>
      </c>
      <c r="GW91" s="15">
        <v>4</v>
      </c>
      <c r="GX91" s="15">
        <v>2</v>
      </c>
      <c r="GY91" s="15">
        <v>2</v>
      </c>
      <c r="GZ91" s="15">
        <v>2</v>
      </c>
      <c r="HA91" s="15">
        <v>1</v>
      </c>
      <c r="HB91" s="15">
        <v>1</v>
      </c>
      <c r="HC91" s="15">
        <v>4</v>
      </c>
      <c r="HD91" s="15">
        <v>3</v>
      </c>
      <c r="HE91" s="15">
        <v>1</v>
      </c>
      <c r="HF91" s="15">
        <v>1</v>
      </c>
      <c r="HG91" s="15">
        <v>1</v>
      </c>
      <c r="HH91" s="15">
        <v>1</v>
      </c>
      <c r="HI91" s="15">
        <v>3</v>
      </c>
      <c r="HJ91" s="15">
        <v>2</v>
      </c>
      <c r="HK91" s="15">
        <v>2</v>
      </c>
      <c r="HL91" s="15">
        <v>1</v>
      </c>
      <c r="HM91" s="15">
        <v>3</v>
      </c>
      <c r="HN91" s="15">
        <v>3</v>
      </c>
      <c r="HO91" s="15">
        <v>3</v>
      </c>
      <c r="HP91" s="15">
        <v>2</v>
      </c>
      <c r="HQ91" s="15">
        <v>1</v>
      </c>
      <c r="HR91" s="15">
        <v>3</v>
      </c>
      <c r="HS91" s="15">
        <v>4</v>
      </c>
      <c r="HT91" s="15">
        <v>4</v>
      </c>
      <c r="HU91" s="15">
        <v>2</v>
      </c>
      <c r="HV91" s="15">
        <v>3</v>
      </c>
      <c r="HW91" s="15">
        <v>4</v>
      </c>
      <c r="HX91" s="15">
        <v>4.25</v>
      </c>
      <c r="HY91" s="15">
        <v>4.25</v>
      </c>
      <c r="HZ91" s="15">
        <v>4</v>
      </c>
      <c r="IA91" s="15">
        <v>3.75</v>
      </c>
      <c r="IB91" s="15">
        <v>2.75</v>
      </c>
      <c r="IC91" s="15">
        <v>4</v>
      </c>
      <c r="ID91" s="15">
        <v>4</v>
      </c>
      <c r="IE91" s="15">
        <v>1.75</v>
      </c>
      <c r="IF91" s="15">
        <v>3.25</v>
      </c>
      <c r="IG91" s="15">
        <v>2.75</v>
      </c>
      <c r="IH91" s="15">
        <v>2.25</v>
      </c>
      <c r="II91" s="15">
        <v>4</v>
      </c>
      <c r="IJ91" s="15">
        <v>3</v>
      </c>
      <c r="IK91" s="15">
        <v>3</v>
      </c>
      <c r="IL91" s="15">
        <v>3.25</v>
      </c>
      <c r="IM91" s="15">
        <v>3.25</v>
      </c>
      <c r="IN91" s="15">
        <v>4</v>
      </c>
      <c r="IO91" s="15">
        <v>2.75</v>
      </c>
      <c r="IP91" s="15">
        <v>3.75</v>
      </c>
      <c r="IQ91" s="15">
        <v>4.25</v>
      </c>
      <c r="IR91" s="15">
        <v>3.25</v>
      </c>
      <c r="IS91" s="15">
        <v>3.25</v>
      </c>
      <c r="IT91" s="15">
        <v>3</v>
      </c>
      <c r="IU91" s="15">
        <v>3</v>
      </c>
      <c r="IV91" s="15">
        <v>4.25</v>
      </c>
      <c r="IW91" s="15">
        <v>3.75</v>
      </c>
      <c r="IX91" s="15">
        <v>3.75</v>
      </c>
      <c r="IY91" s="15">
        <v>4</v>
      </c>
      <c r="IZ91" s="15">
        <v>4</v>
      </c>
    </row>
    <row r="92" spans="1:260" s="12" customFormat="1" x14ac:dyDescent="0.3">
      <c r="A92" s="15">
        <v>96</v>
      </c>
      <c r="B92" s="15" t="s">
        <v>469</v>
      </c>
      <c r="C92" s="16">
        <v>32</v>
      </c>
      <c r="D92" s="15" t="s">
        <v>258</v>
      </c>
      <c r="E92" s="15" t="s">
        <v>259</v>
      </c>
      <c r="F92" s="15" t="s">
        <v>260</v>
      </c>
      <c r="G92" s="15" t="s">
        <v>268</v>
      </c>
      <c r="H92" s="15" t="s">
        <v>262</v>
      </c>
      <c r="I92" s="15" t="s">
        <v>270</v>
      </c>
      <c r="J92" s="15" t="s">
        <v>435</v>
      </c>
      <c r="K92" s="15" t="s">
        <v>272</v>
      </c>
      <c r="L92" s="15" t="s">
        <v>278</v>
      </c>
      <c r="M92" s="15" t="s">
        <v>436</v>
      </c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>
        <v>0</v>
      </c>
      <c r="AE92" s="15">
        <f t="shared" si="27"/>
        <v>1</v>
      </c>
      <c r="AF92" s="15">
        <f>13775.6/1000</f>
        <v>13.775600000000001</v>
      </c>
      <c r="AG92" s="15">
        <v>0</v>
      </c>
      <c r="AH92" s="15">
        <v>0</v>
      </c>
      <c r="AI92" s="15"/>
      <c r="AJ92" s="15"/>
      <c r="AK92" s="15">
        <v>3</v>
      </c>
      <c r="AL92" s="15">
        <f>5/8</f>
        <v>0.625</v>
      </c>
      <c r="AM92" s="15"/>
      <c r="AN92" s="15">
        <f>1.1*3</f>
        <v>3.3000000000000003</v>
      </c>
      <c r="AO92" s="15">
        <v>0</v>
      </c>
      <c r="AP92" s="15">
        <f>3/3</f>
        <v>1</v>
      </c>
      <c r="AQ92" s="15">
        <f>15273.15/1000</f>
        <v>15.273149999999999</v>
      </c>
      <c r="AR92" s="15">
        <v>0</v>
      </c>
      <c r="AS92" s="15">
        <v>0</v>
      </c>
      <c r="AT92" s="15"/>
      <c r="AU92" s="15"/>
      <c r="AV92" s="15"/>
      <c r="AW92" s="15"/>
      <c r="AX92" s="15"/>
      <c r="AY92" s="15"/>
      <c r="AZ92" s="15">
        <v>0</v>
      </c>
      <c r="BA92" s="15">
        <f t="shared" si="28"/>
        <v>1</v>
      </c>
      <c r="BB92" s="15">
        <f>5483.139/1000</f>
        <v>5.4831390000000004</v>
      </c>
      <c r="BC92" s="15">
        <v>0</v>
      </c>
      <c r="BD92" s="15">
        <v>0</v>
      </c>
      <c r="BE92" s="15"/>
      <c r="BF92" s="15"/>
      <c r="BG92" s="15"/>
      <c r="BH92" s="15"/>
      <c r="BI92" s="15"/>
      <c r="BJ92" s="15"/>
      <c r="BK92" s="15">
        <v>0</v>
      </c>
      <c r="BL92" s="15">
        <f t="shared" si="25"/>
        <v>1</v>
      </c>
      <c r="BM92" s="15">
        <f>9780.989/1000</f>
        <v>9.7809889999999999</v>
      </c>
      <c r="BN92" s="15">
        <v>0</v>
      </c>
      <c r="BO92" s="15"/>
      <c r="BP92" s="15"/>
      <c r="BQ92" s="15"/>
      <c r="BR92" s="15"/>
      <c r="BS92" s="15">
        <v>0</v>
      </c>
      <c r="BT92" s="15">
        <f t="shared" si="31"/>
        <v>1</v>
      </c>
      <c r="BU92" s="15">
        <f>18795.93/1000</f>
        <v>18.795930000000002</v>
      </c>
      <c r="BV92" s="15">
        <v>0</v>
      </c>
      <c r="BW92" s="15">
        <v>1</v>
      </c>
      <c r="BX92" s="15">
        <v>0</v>
      </c>
      <c r="BY92" s="15">
        <f>6/6</f>
        <v>1</v>
      </c>
      <c r="BZ92" s="15"/>
      <c r="CA92" s="15"/>
      <c r="CB92" s="15"/>
      <c r="CC92" s="15"/>
      <c r="CD92" s="15">
        <v>0</v>
      </c>
      <c r="CE92" s="15">
        <f t="shared" si="32"/>
        <v>1</v>
      </c>
      <c r="CF92" s="15">
        <f>14261.72/1000</f>
        <v>14.261719999999999</v>
      </c>
      <c r="CG92" s="15">
        <f>0.095</f>
        <v>9.5000000000000001E-2</v>
      </c>
      <c r="CH92" s="15">
        <v>0</v>
      </c>
      <c r="CI92" s="15"/>
      <c r="CJ92" s="15"/>
      <c r="CK92" s="15">
        <f t="shared" si="22"/>
        <v>77.370527999999993</v>
      </c>
      <c r="CL92" s="15">
        <f>1/8</f>
        <v>0.125</v>
      </c>
      <c r="CM92" s="15">
        <v>1</v>
      </c>
      <c r="CN92" s="15">
        <v>1</v>
      </c>
      <c r="CO92" s="15">
        <f>Table1[[#This Row],[TotalTrapsRisked]]/5</f>
        <v>0.2</v>
      </c>
      <c r="CP92" s="15">
        <v>0</v>
      </c>
      <c r="CQ92" s="15">
        <v>0</v>
      </c>
      <c r="CR92" s="15">
        <v>0.5</v>
      </c>
      <c r="CS92" s="15">
        <v>0.76363636363636367</v>
      </c>
      <c r="CT92" s="15">
        <v>1</v>
      </c>
      <c r="CU92" s="15">
        <v>216</v>
      </c>
      <c r="CV92" s="15">
        <v>940</v>
      </c>
      <c r="CW92" s="15">
        <v>1</v>
      </c>
      <c r="CX92" s="15"/>
      <c r="CY92" s="15"/>
      <c r="CZ92" s="15"/>
      <c r="DA92" s="15"/>
      <c r="DB92" s="15"/>
      <c r="DC92" s="15"/>
      <c r="DD92" s="15">
        <v>0</v>
      </c>
      <c r="DE92" s="15">
        <v>0</v>
      </c>
      <c r="DF92" s="15">
        <v>3</v>
      </c>
      <c r="DG92" s="15">
        <v>4</v>
      </c>
      <c r="DH92" s="15">
        <v>4</v>
      </c>
      <c r="DI92" s="15">
        <v>4</v>
      </c>
      <c r="DJ92" s="15">
        <v>4</v>
      </c>
      <c r="DK92" s="15">
        <v>2</v>
      </c>
      <c r="DL92" s="15">
        <v>3</v>
      </c>
      <c r="DM92" s="15">
        <v>4</v>
      </c>
      <c r="DN92" s="15">
        <v>2</v>
      </c>
      <c r="DO92" s="15">
        <v>2</v>
      </c>
      <c r="DP92" s="15">
        <v>2</v>
      </c>
      <c r="DQ92" s="15">
        <v>4</v>
      </c>
      <c r="DR92" s="15">
        <v>3</v>
      </c>
      <c r="DS92" s="15">
        <v>4</v>
      </c>
      <c r="DT92" s="15">
        <v>4</v>
      </c>
      <c r="DU92" s="15">
        <v>2</v>
      </c>
      <c r="DV92" s="15">
        <v>2</v>
      </c>
      <c r="DW92" s="15">
        <v>5</v>
      </c>
      <c r="DX92" s="15">
        <v>3</v>
      </c>
      <c r="DY92" s="15">
        <v>4</v>
      </c>
      <c r="DZ92" s="15">
        <v>2</v>
      </c>
      <c r="EA92" s="15">
        <v>4</v>
      </c>
      <c r="EB92" s="15">
        <v>4</v>
      </c>
      <c r="EC92" s="15">
        <v>2</v>
      </c>
      <c r="ED92" s="15">
        <v>3</v>
      </c>
      <c r="EE92" s="15">
        <v>2</v>
      </c>
      <c r="EF92" s="15">
        <v>3</v>
      </c>
      <c r="EG92" s="15">
        <v>2</v>
      </c>
      <c r="EH92" s="15">
        <v>3</v>
      </c>
      <c r="EI92" s="15">
        <v>3</v>
      </c>
      <c r="EJ92" s="15">
        <v>2</v>
      </c>
      <c r="EK92" s="15">
        <v>4</v>
      </c>
      <c r="EL92" s="15">
        <v>2</v>
      </c>
      <c r="EM92" s="15">
        <v>4</v>
      </c>
      <c r="EN92" s="15">
        <v>4</v>
      </c>
      <c r="EO92" s="15">
        <v>2</v>
      </c>
      <c r="EP92" s="15">
        <v>2</v>
      </c>
      <c r="EQ92" s="15">
        <v>4</v>
      </c>
      <c r="ER92" s="15">
        <v>2</v>
      </c>
      <c r="ES92" s="15">
        <v>3</v>
      </c>
      <c r="ET92" s="15">
        <v>2</v>
      </c>
      <c r="EU92" s="15">
        <v>4</v>
      </c>
      <c r="EV92" s="15">
        <v>4</v>
      </c>
      <c r="EW92" s="15">
        <v>4</v>
      </c>
      <c r="EX92" s="15">
        <v>5</v>
      </c>
      <c r="EY92" s="15">
        <v>2</v>
      </c>
      <c r="EZ92" s="15">
        <v>3</v>
      </c>
      <c r="FA92" s="15">
        <v>2</v>
      </c>
      <c r="FB92" s="15">
        <v>2</v>
      </c>
      <c r="FC92" s="15">
        <v>4</v>
      </c>
      <c r="FD92" s="15">
        <v>4</v>
      </c>
      <c r="FE92" s="15">
        <v>4</v>
      </c>
      <c r="FF92" s="15">
        <v>3</v>
      </c>
      <c r="FG92" s="15">
        <v>3</v>
      </c>
      <c r="FH92" s="15">
        <v>3</v>
      </c>
      <c r="FI92" s="15">
        <v>2</v>
      </c>
      <c r="FJ92" s="15">
        <v>4</v>
      </c>
      <c r="FK92" s="15">
        <v>2</v>
      </c>
      <c r="FL92" s="15">
        <v>4</v>
      </c>
      <c r="FM92" s="15">
        <v>3</v>
      </c>
      <c r="FN92" s="15">
        <v>2</v>
      </c>
      <c r="FO92" s="15">
        <v>2</v>
      </c>
      <c r="FP92" s="15">
        <v>3</v>
      </c>
      <c r="FQ92" s="15">
        <v>4</v>
      </c>
      <c r="FR92" s="15">
        <v>4</v>
      </c>
      <c r="FS92" s="15">
        <v>2</v>
      </c>
      <c r="FT92" s="15">
        <v>2</v>
      </c>
      <c r="FU92" s="15">
        <v>3</v>
      </c>
      <c r="FV92" s="15">
        <v>4</v>
      </c>
      <c r="FW92" s="15">
        <v>2</v>
      </c>
      <c r="FX92" s="15">
        <v>4</v>
      </c>
      <c r="FY92" s="15">
        <v>2</v>
      </c>
      <c r="FZ92" s="15">
        <v>3</v>
      </c>
      <c r="GA92" s="15">
        <v>3</v>
      </c>
      <c r="GB92" s="15">
        <v>2</v>
      </c>
      <c r="GC92" s="15">
        <v>1</v>
      </c>
      <c r="GD92" s="15">
        <v>2</v>
      </c>
      <c r="GE92" s="15">
        <v>3</v>
      </c>
      <c r="GF92" s="15">
        <v>3</v>
      </c>
      <c r="GG92" s="15">
        <v>1</v>
      </c>
      <c r="GH92" s="15">
        <v>2</v>
      </c>
      <c r="GI92" s="15">
        <v>2</v>
      </c>
      <c r="GJ92" s="15">
        <v>4</v>
      </c>
      <c r="GK92" s="15">
        <v>2</v>
      </c>
      <c r="GL92" s="15">
        <v>3</v>
      </c>
      <c r="GM92" s="15">
        <v>3</v>
      </c>
      <c r="GN92" s="15">
        <v>2</v>
      </c>
      <c r="GO92" s="15">
        <v>4</v>
      </c>
      <c r="GP92" s="15">
        <v>3</v>
      </c>
      <c r="GQ92" s="15">
        <v>2</v>
      </c>
      <c r="GR92" s="15">
        <v>3</v>
      </c>
      <c r="GS92" s="15">
        <v>3</v>
      </c>
      <c r="GT92" s="15">
        <v>2</v>
      </c>
      <c r="GU92" s="15">
        <v>3</v>
      </c>
      <c r="GV92" s="15">
        <v>2</v>
      </c>
      <c r="GW92" s="15">
        <v>4</v>
      </c>
      <c r="GX92" s="15">
        <v>4</v>
      </c>
      <c r="GY92" s="15">
        <v>2</v>
      </c>
      <c r="GZ92" s="15">
        <v>4</v>
      </c>
      <c r="HA92" s="15">
        <v>2</v>
      </c>
      <c r="HB92" s="15">
        <v>2</v>
      </c>
      <c r="HC92" s="15">
        <v>4</v>
      </c>
      <c r="HD92" s="15">
        <v>3</v>
      </c>
      <c r="HE92" s="15">
        <v>2</v>
      </c>
      <c r="HF92" s="15">
        <v>2</v>
      </c>
      <c r="HG92" s="15">
        <v>2</v>
      </c>
      <c r="HH92" s="15">
        <v>3</v>
      </c>
      <c r="HI92" s="15">
        <v>3</v>
      </c>
      <c r="HJ92" s="15">
        <v>2</v>
      </c>
      <c r="HK92" s="15">
        <v>2</v>
      </c>
      <c r="HL92" s="15">
        <v>2</v>
      </c>
      <c r="HM92" s="15">
        <v>4</v>
      </c>
      <c r="HN92" s="15">
        <v>2</v>
      </c>
      <c r="HO92" s="15">
        <v>3</v>
      </c>
      <c r="HP92" s="15">
        <v>2</v>
      </c>
      <c r="HQ92" s="15">
        <v>2</v>
      </c>
      <c r="HR92" s="15">
        <v>4</v>
      </c>
      <c r="HS92" s="15">
        <v>4</v>
      </c>
      <c r="HT92" s="15">
        <v>5</v>
      </c>
      <c r="HU92" s="15">
        <v>2</v>
      </c>
      <c r="HV92" s="15">
        <v>3</v>
      </c>
      <c r="HW92" s="15">
        <v>4</v>
      </c>
      <c r="HX92" s="15">
        <v>2.75</v>
      </c>
      <c r="HY92" s="15">
        <v>4.5</v>
      </c>
      <c r="HZ92" s="15">
        <v>4</v>
      </c>
      <c r="IA92" s="15">
        <v>3.25</v>
      </c>
      <c r="IB92" s="15">
        <v>3</v>
      </c>
      <c r="IC92" s="15">
        <v>2.5</v>
      </c>
      <c r="ID92" s="15">
        <v>2</v>
      </c>
      <c r="IE92" s="15">
        <v>2</v>
      </c>
      <c r="IF92" s="15">
        <v>2.25</v>
      </c>
      <c r="IG92" s="15">
        <v>2.5</v>
      </c>
      <c r="IH92" s="15">
        <v>2</v>
      </c>
      <c r="II92" s="15">
        <v>4</v>
      </c>
      <c r="IJ92" s="15">
        <v>3.25</v>
      </c>
      <c r="IK92" s="15">
        <v>3.5</v>
      </c>
      <c r="IL92" s="15">
        <v>2.75</v>
      </c>
      <c r="IM92" s="15">
        <v>3.5</v>
      </c>
      <c r="IN92" s="15">
        <v>3.75</v>
      </c>
      <c r="IO92" s="15">
        <v>3</v>
      </c>
      <c r="IP92" s="15">
        <v>3.25</v>
      </c>
      <c r="IQ92" s="15">
        <v>3.5</v>
      </c>
      <c r="IR92" s="15">
        <v>4</v>
      </c>
      <c r="IS92" s="15">
        <v>3.5</v>
      </c>
      <c r="IT92" s="15">
        <v>2</v>
      </c>
      <c r="IU92" s="15">
        <v>4</v>
      </c>
      <c r="IV92" s="15">
        <v>4</v>
      </c>
      <c r="IW92" s="15">
        <v>4</v>
      </c>
      <c r="IX92" s="15">
        <v>4</v>
      </c>
      <c r="IY92" s="15">
        <v>3.5</v>
      </c>
      <c r="IZ92" s="15">
        <v>3.75</v>
      </c>
    </row>
    <row r="93" spans="1:260" s="12" customFormat="1" x14ac:dyDescent="0.3">
      <c r="A93" s="15">
        <v>97</v>
      </c>
      <c r="B93" s="15" t="s">
        <v>467</v>
      </c>
      <c r="C93" s="16">
        <v>32</v>
      </c>
      <c r="D93" s="15" t="s">
        <v>288</v>
      </c>
      <c r="E93" s="15" t="s">
        <v>289</v>
      </c>
      <c r="F93" s="15" t="s">
        <v>260</v>
      </c>
      <c r="G93" s="15" t="s">
        <v>261</v>
      </c>
      <c r="H93" s="15" t="s">
        <v>437</v>
      </c>
      <c r="I93" s="15" t="s">
        <v>270</v>
      </c>
      <c r="J93" s="15" t="s">
        <v>438</v>
      </c>
      <c r="K93" s="15" t="s">
        <v>272</v>
      </c>
      <c r="L93" s="15" t="s">
        <v>281</v>
      </c>
      <c r="M93" s="15" t="s">
        <v>293</v>
      </c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>
        <v>0</v>
      </c>
      <c r="AE93" s="15">
        <f t="shared" si="27"/>
        <v>1</v>
      </c>
      <c r="AF93" s="15">
        <f>9116.405/1000</f>
        <v>9.1164050000000003</v>
      </c>
      <c r="AG93" s="15">
        <v>0</v>
      </c>
      <c r="AH93" s="15">
        <v>0</v>
      </c>
      <c r="AI93" s="15"/>
      <c r="AJ93" s="15"/>
      <c r="AK93" s="15">
        <v>3</v>
      </c>
      <c r="AL93" s="15">
        <f>2/8</f>
        <v>0.25</v>
      </c>
      <c r="AM93" s="15"/>
      <c r="AN93" s="15">
        <f>1.1*3</f>
        <v>3.3000000000000003</v>
      </c>
      <c r="AO93" s="15">
        <v>0</v>
      </c>
      <c r="AP93" s="15">
        <f>3/3</f>
        <v>1</v>
      </c>
      <c r="AQ93" s="15">
        <f>19986.83/1000</f>
        <v>19.986830000000001</v>
      </c>
      <c r="AR93" s="15">
        <f>0.7275</f>
        <v>0.72750000000000004</v>
      </c>
      <c r="AS93" s="15">
        <v>0</v>
      </c>
      <c r="AT93" s="15"/>
      <c r="AU93" s="15"/>
      <c r="AV93" s="15"/>
      <c r="AW93" s="15"/>
      <c r="AX93" s="15"/>
      <c r="AY93" s="15"/>
      <c r="AZ93" s="15">
        <v>0</v>
      </c>
      <c r="BA93" s="15">
        <f t="shared" si="28"/>
        <v>1</v>
      </c>
      <c r="BB93" s="15">
        <f>7158.679/1000</f>
        <v>7.1586790000000002</v>
      </c>
      <c r="BC93" s="15">
        <v>0</v>
      </c>
      <c r="BD93" s="15">
        <v>0</v>
      </c>
      <c r="BE93" s="15"/>
      <c r="BF93" s="15"/>
      <c r="BG93" s="15">
        <v>1</v>
      </c>
      <c r="BH93" s="15">
        <f>0/5</f>
        <v>0</v>
      </c>
      <c r="BI93" s="15">
        <f>27721.86/1000</f>
        <v>27.72186</v>
      </c>
      <c r="BJ93" s="15">
        <f>0.3+0.6</f>
        <v>0.89999999999999991</v>
      </c>
      <c r="BK93" s="15"/>
      <c r="BL93" s="15"/>
      <c r="BM93" s="15"/>
      <c r="BN93" s="15"/>
      <c r="BO93" s="15">
        <v>3</v>
      </c>
      <c r="BP93" s="15">
        <v>0</v>
      </c>
      <c r="BQ93" s="15"/>
      <c r="BR93" s="15">
        <f>1.05*3</f>
        <v>3.1500000000000004</v>
      </c>
      <c r="BS93" s="15">
        <v>0</v>
      </c>
      <c r="BT93" s="15">
        <f t="shared" si="31"/>
        <v>1</v>
      </c>
      <c r="BU93" s="15">
        <f>8867.356/1000</f>
        <v>8.8673559999999991</v>
      </c>
      <c r="BV93" s="15">
        <f>0</f>
        <v>0</v>
      </c>
      <c r="BW93" s="15">
        <v>0</v>
      </c>
      <c r="BX93" s="15"/>
      <c r="BY93" s="15"/>
      <c r="BZ93" s="15">
        <v>3</v>
      </c>
      <c r="CA93" s="15">
        <v>0</v>
      </c>
      <c r="CB93" s="15"/>
      <c r="CC93" s="15">
        <f>1.05*3</f>
        <v>3.1500000000000004</v>
      </c>
      <c r="CD93" s="15">
        <v>0</v>
      </c>
      <c r="CE93" s="15">
        <f t="shared" si="32"/>
        <v>1</v>
      </c>
      <c r="CF93" s="15">
        <f>AVERAGE(13994.59,14260.54,15649.88)/1000</f>
        <v>14.635003333333334</v>
      </c>
      <c r="CG93" s="15">
        <v>0</v>
      </c>
      <c r="CH93" s="15">
        <v>2</v>
      </c>
      <c r="CI93" s="15">
        <v>2</v>
      </c>
      <c r="CJ93" s="15">
        <f>3/6</f>
        <v>0.5</v>
      </c>
      <c r="CK93" s="15">
        <f t="shared" si="22"/>
        <v>87.486133333333328</v>
      </c>
      <c r="CL93" s="15">
        <f>4/8</f>
        <v>0.5</v>
      </c>
      <c r="CM93" s="15">
        <v>2</v>
      </c>
      <c r="CN93" s="15">
        <v>1</v>
      </c>
      <c r="CO93" s="15">
        <f>Table1[[#This Row],[TotalTrapsRisked]]/5</f>
        <v>0.2</v>
      </c>
      <c r="CP93" s="15">
        <v>0</v>
      </c>
      <c r="CQ93" s="15">
        <v>0</v>
      </c>
      <c r="CR93" s="15">
        <v>0.70833333333333337</v>
      </c>
      <c r="CS93" s="15">
        <v>0.79090909090909089</v>
      </c>
      <c r="CT93" s="15">
        <v>3</v>
      </c>
      <c r="CU93" s="15">
        <v>350</v>
      </c>
      <c r="CV93" s="15">
        <v>1170</v>
      </c>
      <c r="CW93" s="15">
        <v>2</v>
      </c>
      <c r="CX93" s="15"/>
      <c r="CY93" s="15"/>
      <c r="CZ93" s="15"/>
      <c r="DA93" s="15"/>
      <c r="DB93" s="15"/>
      <c r="DC93" s="15"/>
      <c r="DD93" s="15">
        <v>0</v>
      </c>
      <c r="DE93" s="15">
        <v>0</v>
      </c>
      <c r="DF93" s="15">
        <v>5</v>
      </c>
      <c r="DG93" s="15">
        <v>4</v>
      </c>
      <c r="DH93" s="15">
        <v>4</v>
      </c>
      <c r="DI93" s="15">
        <v>4</v>
      </c>
      <c r="DJ93" s="15">
        <v>4</v>
      </c>
      <c r="DK93" s="15">
        <v>1</v>
      </c>
      <c r="DL93" s="15">
        <v>4</v>
      </c>
      <c r="DM93" s="15">
        <v>4</v>
      </c>
      <c r="DN93" s="15">
        <v>1</v>
      </c>
      <c r="DO93" s="15">
        <v>5</v>
      </c>
      <c r="DP93" s="15">
        <v>1</v>
      </c>
      <c r="DQ93" s="15">
        <v>4</v>
      </c>
      <c r="DR93" s="15">
        <v>3</v>
      </c>
      <c r="DS93" s="15">
        <v>4</v>
      </c>
      <c r="DT93" s="15">
        <v>5</v>
      </c>
      <c r="DU93" s="15">
        <v>2</v>
      </c>
      <c r="DV93" s="15">
        <v>4</v>
      </c>
      <c r="DW93" s="15">
        <v>2</v>
      </c>
      <c r="DX93" s="15">
        <v>1</v>
      </c>
      <c r="DY93" s="15">
        <v>5</v>
      </c>
      <c r="DZ93" s="15">
        <v>1</v>
      </c>
      <c r="EA93" s="15">
        <v>4</v>
      </c>
      <c r="EB93" s="15">
        <v>4</v>
      </c>
      <c r="EC93" s="15">
        <v>2</v>
      </c>
      <c r="ED93" s="15">
        <v>4</v>
      </c>
      <c r="EE93" s="15">
        <v>1</v>
      </c>
      <c r="EF93" s="15">
        <v>4</v>
      </c>
      <c r="EG93" s="15">
        <v>4</v>
      </c>
      <c r="EH93" s="15">
        <v>3</v>
      </c>
      <c r="EI93" s="15">
        <v>2</v>
      </c>
      <c r="EJ93" s="15">
        <v>3</v>
      </c>
      <c r="EK93" s="15">
        <v>4</v>
      </c>
      <c r="EL93" s="15">
        <v>4</v>
      </c>
      <c r="EM93" s="15">
        <v>4</v>
      </c>
      <c r="EN93" s="15">
        <v>4</v>
      </c>
      <c r="EO93" s="15">
        <v>2</v>
      </c>
      <c r="EP93" s="15">
        <v>3</v>
      </c>
      <c r="EQ93" s="15">
        <v>3</v>
      </c>
      <c r="ER93" s="15">
        <v>1</v>
      </c>
      <c r="ES93" s="15">
        <v>2</v>
      </c>
      <c r="ET93" s="15">
        <v>1</v>
      </c>
      <c r="EU93" s="15">
        <v>4</v>
      </c>
      <c r="EV93" s="15">
        <v>3</v>
      </c>
      <c r="EW93" s="15">
        <v>4</v>
      </c>
      <c r="EX93" s="15">
        <v>5</v>
      </c>
      <c r="EY93" s="15">
        <v>3</v>
      </c>
      <c r="EZ93" s="15">
        <v>5</v>
      </c>
      <c r="FA93" s="15">
        <v>2</v>
      </c>
      <c r="FB93" s="15">
        <v>1</v>
      </c>
      <c r="FC93" s="15">
        <v>4</v>
      </c>
      <c r="FD93" s="15">
        <v>4</v>
      </c>
      <c r="FE93" s="15">
        <v>4</v>
      </c>
      <c r="FF93" s="15">
        <v>4</v>
      </c>
      <c r="FG93" s="15">
        <v>4</v>
      </c>
      <c r="FH93" s="15">
        <v>4</v>
      </c>
      <c r="FI93" s="15">
        <v>2</v>
      </c>
      <c r="FJ93" s="15">
        <v>4</v>
      </c>
      <c r="FK93" s="15">
        <v>4</v>
      </c>
      <c r="FL93" s="15">
        <v>4</v>
      </c>
      <c r="FM93" s="15">
        <v>3</v>
      </c>
      <c r="FN93" s="15">
        <v>3</v>
      </c>
      <c r="FO93" s="15">
        <v>2</v>
      </c>
      <c r="FP93" s="15">
        <v>4</v>
      </c>
      <c r="FQ93" s="15">
        <v>4</v>
      </c>
      <c r="FR93" s="15">
        <v>4</v>
      </c>
      <c r="FS93" s="15">
        <v>1</v>
      </c>
      <c r="FT93" s="15">
        <v>2</v>
      </c>
      <c r="FU93" s="15">
        <v>3</v>
      </c>
      <c r="FV93" s="15">
        <v>4</v>
      </c>
      <c r="FW93" s="15">
        <v>1</v>
      </c>
      <c r="FX93" s="15">
        <v>1</v>
      </c>
      <c r="FY93" s="15">
        <v>1</v>
      </c>
      <c r="FZ93" s="15">
        <v>4</v>
      </c>
      <c r="GA93" s="15">
        <v>2</v>
      </c>
      <c r="GB93" s="15">
        <v>2</v>
      </c>
      <c r="GC93" s="15">
        <v>2</v>
      </c>
      <c r="GD93" s="15">
        <v>2</v>
      </c>
      <c r="GE93" s="15">
        <v>4</v>
      </c>
      <c r="GF93" s="15">
        <v>2</v>
      </c>
      <c r="GG93" s="15">
        <v>1</v>
      </c>
      <c r="GH93" s="15">
        <v>1</v>
      </c>
      <c r="GI93" s="15">
        <v>4</v>
      </c>
      <c r="GJ93" s="15">
        <v>3</v>
      </c>
      <c r="GK93" s="15">
        <v>3</v>
      </c>
      <c r="GL93" s="15">
        <v>3</v>
      </c>
      <c r="GM93" s="15">
        <v>1</v>
      </c>
      <c r="GN93" s="15">
        <v>1</v>
      </c>
      <c r="GO93" s="15">
        <v>5</v>
      </c>
      <c r="GP93" s="15">
        <v>2</v>
      </c>
      <c r="GQ93" s="15">
        <v>2</v>
      </c>
      <c r="GR93" s="15">
        <v>1</v>
      </c>
      <c r="GS93" s="15">
        <v>2</v>
      </c>
      <c r="GT93" s="15">
        <v>2</v>
      </c>
      <c r="GU93" s="15">
        <v>3</v>
      </c>
      <c r="GV93" s="15">
        <v>2</v>
      </c>
      <c r="GW93" s="15">
        <v>4</v>
      </c>
      <c r="GX93" s="15">
        <v>4</v>
      </c>
      <c r="GY93" s="15">
        <v>2</v>
      </c>
      <c r="GZ93" s="15">
        <v>2</v>
      </c>
      <c r="HA93" s="15">
        <v>1</v>
      </c>
      <c r="HB93" s="15">
        <v>1</v>
      </c>
      <c r="HC93" s="15">
        <v>5</v>
      </c>
      <c r="HD93" s="15">
        <v>2</v>
      </c>
      <c r="HE93" s="15">
        <v>2</v>
      </c>
      <c r="HF93" s="15">
        <v>2</v>
      </c>
      <c r="HG93" s="15">
        <v>1</v>
      </c>
      <c r="HH93" s="15">
        <v>2</v>
      </c>
      <c r="HI93" s="15">
        <v>3</v>
      </c>
      <c r="HJ93" s="15">
        <v>3</v>
      </c>
      <c r="HK93" s="15">
        <v>1</v>
      </c>
      <c r="HL93" s="15">
        <v>1</v>
      </c>
      <c r="HM93" s="15">
        <v>4</v>
      </c>
      <c r="HN93" s="15">
        <v>2</v>
      </c>
      <c r="HO93" s="15">
        <v>3</v>
      </c>
      <c r="HP93" s="15">
        <v>2</v>
      </c>
      <c r="HQ93" s="15">
        <v>2</v>
      </c>
      <c r="HR93" s="15">
        <v>4</v>
      </c>
      <c r="HS93" s="15">
        <v>4</v>
      </c>
      <c r="HT93" s="15">
        <v>4</v>
      </c>
      <c r="HU93" s="15">
        <v>3</v>
      </c>
      <c r="HV93" s="15">
        <v>2</v>
      </c>
      <c r="HW93" s="15">
        <v>4</v>
      </c>
      <c r="HX93" s="15">
        <v>4.75</v>
      </c>
      <c r="HY93" s="15">
        <v>4.75</v>
      </c>
      <c r="HZ93" s="15">
        <v>4.75</v>
      </c>
      <c r="IA93" s="15">
        <v>4.25</v>
      </c>
      <c r="IB93" s="15">
        <v>4</v>
      </c>
      <c r="IC93" s="15">
        <v>3.25</v>
      </c>
      <c r="ID93" s="15">
        <v>1.5</v>
      </c>
      <c r="IE93" s="15">
        <v>1</v>
      </c>
      <c r="IF93" s="15">
        <v>2.75</v>
      </c>
      <c r="IG93" s="15">
        <v>1.75</v>
      </c>
      <c r="IH93" s="15">
        <v>1.5</v>
      </c>
      <c r="II93" s="15">
        <v>4</v>
      </c>
      <c r="IJ93" s="15">
        <v>3.75</v>
      </c>
      <c r="IK93" s="15">
        <v>4</v>
      </c>
      <c r="IL93" s="15">
        <v>4</v>
      </c>
      <c r="IM93" s="15">
        <v>3.25</v>
      </c>
      <c r="IN93" s="15">
        <v>4.25</v>
      </c>
      <c r="IO93" s="15">
        <v>3.75</v>
      </c>
      <c r="IP93" s="15">
        <v>3.5</v>
      </c>
      <c r="IQ93" s="15">
        <v>3.5</v>
      </c>
      <c r="IR93" s="15">
        <v>3.25</v>
      </c>
      <c r="IS93" s="15">
        <v>3</v>
      </c>
      <c r="IT93" s="15">
        <v>3.5</v>
      </c>
      <c r="IU93" s="15">
        <v>4</v>
      </c>
      <c r="IV93" s="15">
        <v>5</v>
      </c>
      <c r="IW93" s="15">
        <v>4</v>
      </c>
      <c r="IX93" s="15">
        <v>5</v>
      </c>
      <c r="IY93" s="15">
        <v>3.25</v>
      </c>
      <c r="IZ93" s="15">
        <v>3.5</v>
      </c>
    </row>
    <row r="94" spans="1:260" s="12" customFormat="1" x14ac:dyDescent="0.3">
      <c r="A94" s="15">
        <v>98</v>
      </c>
      <c r="B94" s="15" t="s">
        <v>469</v>
      </c>
      <c r="C94" s="16">
        <v>26</v>
      </c>
      <c r="D94" s="15" t="s">
        <v>288</v>
      </c>
      <c r="E94" s="15" t="s">
        <v>289</v>
      </c>
      <c r="F94" s="15" t="s">
        <v>290</v>
      </c>
      <c r="G94" s="15" t="s">
        <v>268</v>
      </c>
      <c r="H94" s="15" t="s">
        <v>262</v>
      </c>
      <c r="I94" s="15" t="s">
        <v>270</v>
      </c>
      <c r="J94" s="15" t="s">
        <v>439</v>
      </c>
      <c r="K94" s="15" t="s">
        <v>272</v>
      </c>
      <c r="L94" s="15" t="s">
        <v>281</v>
      </c>
      <c r="M94" s="15" t="s">
        <v>440</v>
      </c>
      <c r="N94" s="15"/>
      <c r="O94" s="15"/>
      <c r="P94" s="15"/>
      <c r="Q94" s="15"/>
      <c r="R94" s="15">
        <f>1/1</f>
        <v>1</v>
      </c>
      <c r="S94" s="15">
        <v>0</v>
      </c>
      <c r="T94" s="15">
        <f>18783.75/1000</f>
        <v>18.783750000000001</v>
      </c>
      <c r="U94" s="15">
        <v>0</v>
      </c>
      <c r="V94" s="15">
        <v>0</v>
      </c>
      <c r="W94" s="15">
        <f>0/8</f>
        <v>0</v>
      </c>
      <c r="X94" s="15">
        <f>25730.6/1000</f>
        <v>25.730599999999999</v>
      </c>
      <c r="Y94" s="15">
        <v>0</v>
      </c>
      <c r="Z94" s="15"/>
      <c r="AA94" s="15"/>
      <c r="AB94" s="15"/>
      <c r="AC94" s="15"/>
      <c r="AD94" s="15">
        <v>0</v>
      </c>
      <c r="AE94" s="15">
        <f t="shared" si="27"/>
        <v>1</v>
      </c>
      <c r="AF94" s="15">
        <f>11089.59/1000</f>
        <v>11.089589999999999</v>
      </c>
      <c r="AG94" s="15">
        <v>0</v>
      </c>
      <c r="AH94" s="15">
        <v>0</v>
      </c>
      <c r="AI94" s="15"/>
      <c r="AJ94" s="15"/>
      <c r="AK94" s="15">
        <v>0</v>
      </c>
      <c r="AL94" s="15">
        <f>3/8</f>
        <v>0.375</v>
      </c>
      <c r="AM94" s="15">
        <f>24334.62/1000</f>
        <v>24.334619999999997</v>
      </c>
      <c r="AN94" s="15">
        <f>0.015</f>
        <v>1.4999999999999999E-2</v>
      </c>
      <c r="AO94" s="15"/>
      <c r="AP94" s="15"/>
      <c r="AQ94" s="15"/>
      <c r="AR94" s="15"/>
      <c r="AS94" s="15">
        <v>0</v>
      </c>
      <c r="AT94" s="15"/>
      <c r="AU94" s="15"/>
      <c r="AV94" s="15"/>
      <c r="AW94" s="15"/>
      <c r="AX94" s="15"/>
      <c r="AY94" s="15"/>
      <c r="AZ94" s="15">
        <v>0</v>
      </c>
      <c r="BA94" s="15">
        <f t="shared" si="28"/>
        <v>1</v>
      </c>
      <c r="BB94" s="15">
        <f>7152.594/1000</f>
        <v>7.1525939999999997</v>
      </c>
      <c r="BC94" s="15">
        <v>0</v>
      </c>
      <c r="BD94" s="15">
        <v>0</v>
      </c>
      <c r="BE94" s="15"/>
      <c r="BF94" s="15"/>
      <c r="BG94" s="15"/>
      <c r="BH94" s="15"/>
      <c r="BI94" s="15"/>
      <c r="BJ94" s="15"/>
      <c r="BK94" s="15">
        <v>0</v>
      </c>
      <c r="BL94" s="15">
        <f t="shared" ref="BL94:BL100" si="33">2/2</f>
        <v>1</v>
      </c>
      <c r="BM94" s="15">
        <f>13539.62/1000</f>
        <v>13.539620000000001</v>
      </c>
      <c r="BN94" s="15">
        <v>0</v>
      </c>
      <c r="BO94" s="15"/>
      <c r="BP94" s="15"/>
      <c r="BQ94" s="15"/>
      <c r="BR94" s="15"/>
      <c r="BS94" s="15">
        <v>0</v>
      </c>
      <c r="BT94" s="15">
        <f t="shared" si="31"/>
        <v>1</v>
      </c>
      <c r="BU94" s="15">
        <f>17440.79/1000</f>
        <v>17.44079</v>
      </c>
      <c r="BV94" s="15">
        <v>0</v>
      </c>
      <c r="BW94" s="15">
        <v>0</v>
      </c>
      <c r="BX94" s="15"/>
      <c r="BY94" s="15"/>
      <c r="BZ94" s="15"/>
      <c r="CA94" s="15"/>
      <c r="CB94" s="15"/>
      <c r="CC94" s="15"/>
      <c r="CD94" s="15">
        <v>0</v>
      </c>
      <c r="CE94" s="15">
        <f t="shared" si="32"/>
        <v>1</v>
      </c>
      <c r="CF94" s="15">
        <f>22293.25/1000</f>
        <v>22.29325</v>
      </c>
      <c r="CG94" s="15">
        <f>0.0825</f>
        <v>8.2500000000000004E-2</v>
      </c>
      <c r="CH94" s="15">
        <v>0</v>
      </c>
      <c r="CI94" s="15"/>
      <c r="CJ94" s="15"/>
      <c r="CK94" s="15">
        <f t="shared" si="22"/>
        <v>140.364814</v>
      </c>
      <c r="CL94" s="15">
        <f>2/8</f>
        <v>0.25</v>
      </c>
      <c r="CM94" s="15">
        <v>0</v>
      </c>
      <c r="CN94" s="15">
        <v>0</v>
      </c>
      <c r="CO94" s="15">
        <f>Table1[[#This Row],[TotalTrapsRisked]]/5</f>
        <v>0</v>
      </c>
      <c r="CP94" s="15">
        <v>0</v>
      </c>
      <c r="CQ94" s="15">
        <v>1</v>
      </c>
      <c r="CR94" s="15">
        <v>0.20833333333333334</v>
      </c>
      <c r="CS94" s="15">
        <v>0.38181818181818183</v>
      </c>
      <c r="CT94" s="15">
        <v>0</v>
      </c>
      <c r="CU94" s="15">
        <v>283</v>
      </c>
      <c r="CV94" s="15">
        <v>420</v>
      </c>
      <c r="CW94" s="15">
        <v>0</v>
      </c>
      <c r="CX94" s="15"/>
      <c r="CY94" s="15"/>
      <c r="CZ94" s="15"/>
      <c r="DA94" s="15"/>
      <c r="DB94" s="15"/>
      <c r="DC94" s="15"/>
      <c r="DD94" s="15">
        <v>0</v>
      </c>
      <c r="DE94" s="15">
        <v>0</v>
      </c>
      <c r="DF94" s="15">
        <v>4</v>
      </c>
      <c r="DG94" s="15">
        <v>3</v>
      </c>
      <c r="DH94" s="15">
        <v>4</v>
      </c>
      <c r="DI94" s="15">
        <v>3</v>
      </c>
      <c r="DJ94" s="15">
        <v>4</v>
      </c>
      <c r="DK94" s="15">
        <v>4</v>
      </c>
      <c r="DL94" s="15">
        <v>3</v>
      </c>
      <c r="DM94" s="15">
        <v>3</v>
      </c>
      <c r="DN94" s="15">
        <v>1</v>
      </c>
      <c r="DO94" s="15">
        <v>5</v>
      </c>
      <c r="DP94" s="15">
        <v>2</v>
      </c>
      <c r="DQ94" s="15">
        <v>4</v>
      </c>
      <c r="DR94" s="15">
        <v>4</v>
      </c>
      <c r="DS94" s="15">
        <v>3</v>
      </c>
      <c r="DT94" s="15">
        <v>4</v>
      </c>
      <c r="DU94" s="15">
        <v>3</v>
      </c>
      <c r="DV94" s="15">
        <v>3</v>
      </c>
      <c r="DW94" s="15">
        <v>2</v>
      </c>
      <c r="DX94" s="15">
        <v>3</v>
      </c>
      <c r="DY94" s="15">
        <v>2</v>
      </c>
      <c r="DZ94" s="15">
        <v>2</v>
      </c>
      <c r="EA94" s="15">
        <v>4</v>
      </c>
      <c r="EB94" s="15">
        <v>3</v>
      </c>
      <c r="EC94" s="15">
        <v>2</v>
      </c>
      <c r="ED94" s="15">
        <v>3</v>
      </c>
      <c r="EE94" s="15">
        <v>2</v>
      </c>
      <c r="EF94" s="15">
        <v>3</v>
      </c>
      <c r="EG94" s="15">
        <v>3</v>
      </c>
      <c r="EH94" s="15">
        <v>4</v>
      </c>
      <c r="EI94" s="15">
        <v>2</v>
      </c>
      <c r="EJ94" s="15">
        <v>2</v>
      </c>
      <c r="EK94" s="15">
        <v>3</v>
      </c>
      <c r="EL94" s="15">
        <v>2</v>
      </c>
      <c r="EM94" s="15">
        <v>3</v>
      </c>
      <c r="EN94" s="15">
        <v>3</v>
      </c>
      <c r="EO94" s="15">
        <v>4</v>
      </c>
      <c r="EP94" s="15">
        <v>3</v>
      </c>
      <c r="EQ94" s="15">
        <v>3</v>
      </c>
      <c r="ER94" s="15">
        <v>2</v>
      </c>
      <c r="ES94" s="15">
        <v>2</v>
      </c>
      <c r="ET94" s="15">
        <v>2</v>
      </c>
      <c r="EU94" s="15">
        <v>3</v>
      </c>
      <c r="EV94" s="15">
        <v>3</v>
      </c>
      <c r="EW94" s="15">
        <v>4</v>
      </c>
      <c r="EX94" s="15">
        <v>4</v>
      </c>
      <c r="EY94" s="15">
        <v>3</v>
      </c>
      <c r="EZ94" s="15">
        <v>3</v>
      </c>
      <c r="FA94" s="15">
        <v>4</v>
      </c>
      <c r="FB94" s="15">
        <v>2</v>
      </c>
      <c r="FC94" s="15">
        <v>3</v>
      </c>
      <c r="FD94" s="15">
        <v>3</v>
      </c>
      <c r="FE94" s="15">
        <v>3</v>
      </c>
      <c r="FF94" s="15">
        <v>3</v>
      </c>
      <c r="FG94" s="15">
        <v>3</v>
      </c>
      <c r="FH94" s="15">
        <v>4</v>
      </c>
      <c r="FI94" s="15">
        <v>2</v>
      </c>
      <c r="FJ94" s="15">
        <v>4</v>
      </c>
      <c r="FK94" s="15">
        <v>5</v>
      </c>
      <c r="FL94" s="15">
        <v>4</v>
      </c>
      <c r="FM94" s="15">
        <v>2</v>
      </c>
      <c r="FN94" s="15">
        <v>2</v>
      </c>
      <c r="FO94" s="15">
        <v>3</v>
      </c>
      <c r="FP94" s="15">
        <v>3</v>
      </c>
      <c r="FQ94" s="15">
        <v>3</v>
      </c>
      <c r="FR94" s="15">
        <v>3</v>
      </c>
      <c r="FS94" s="15">
        <v>4</v>
      </c>
      <c r="FT94" s="15">
        <v>3</v>
      </c>
      <c r="FU94" s="15">
        <v>4</v>
      </c>
      <c r="FV94" s="15">
        <v>4</v>
      </c>
      <c r="FW94" s="15">
        <v>2</v>
      </c>
      <c r="FX94" s="15">
        <v>2</v>
      </c>
      <c r="FY94" s="15">
        <v>3</v>
      </c>
      <c r="FZ94" s="15">
        <v>3</v>
      </c>
      <c r="GA94" s="15">
        <v>2</v>
      </c>
      <c r="GB94" s="15">
        <v>3</v>
      </c>
      <c r="GC94" s="15">
        <v>2</v>
      </c>
      <c r="GD94" s="15">
        <v>2</v>
      </c>
      <c r="GE94" s="15">
        <v>2</v>
      </c>
      <c r="GF94" s="15">
        <v>2</v>
      </c>
      <c r="GG94" s="15">
        <v>1</v>
      </c>
      <c r="GH94" s="15">
        <v>2</v>
      </c>
      <c r="GI94" s="15">
        <v>2</v>
      </c>
      <c r="GJ94" s="15">
        <v>3</v>
      </c>
      <c r="GK94" s="15">
        <v>3</v>
      </c>
      <c r="GL94" s="15">
        <v>3</v>
      </c>
      <c r="GM94" s="15">
        <v>3</v>
      </c>
      <c r="GN94" s="15">
        <v>3</v>
      </c>
      <c r="GO94" s="15">
        <v>4</v>
      </c>
      <c r="GP94" s="15">
        <v>2</v>
      </c>
      <c r="GQ94" s="15">
        <v>3</v>
      </c>
      <c r="GR94" s="15">
        <v>4</v>
      </c>
      <c r="GS94" s="15">
        <v>4</v>
      </c>
      <c r="GT94" s="15">
        <v>3</v>
      </c>
      <c r="GU94" s="15">
        <v>4</v>
      </c>
      <c r="GV94" s="15">
        <v>3</v>
      </c>
      <c r="GW94" s="15">
        <v>3</v>
      </c>
      <c r="GX94" s="15">
        <v>2</v>
      </c>
      <c r="GY94" s="15">
        <v>4</v>
      </c>
      <c r="GZ94" s="15">
        <v>4</v>
      </c>
      <c r="HA94" s="15">
        <v>2</v>
      </c>
      <c r="HB94" s="15">
        <v>1</v>
      </c>
      <c r="HC94" s="15">
        <v>4</v>
      </c>
      <c r="HD94" s="15">
        <v>3</v>
      </c>
      <c r="HE94" s="15">
        <v>2</v>
      </c>
      <c r="HF94" s="15">
        <v>2</v>
      </c>
      <c r="HG94" s="15">
        <v>2</v>
      </c>
      <c r="HH94" s="15">
        <v>3</v>
      </c>
      <c r="HI94" s="15">
        <v>4</v>
      </c>
      <c r="HJ94" s="15">
        <v>3</v>
      </c>
      <c r="HK94" s="15">
        <v>2</v>
      </c>
      <c r="HL94" s="15">
        <v>2</v>
      </c>
      <c r="HM94" s="15">
        <v>3</v>
      </c>
      <c r="HN94" s="15">
        <v>2</v>
      </c>
      <c r="HO94" s="15">
        <v>2</v>
      </c>
      <c r="HP94" s="15">
        <v>2</v>
      </c>
      <c r="HQ94" s="15">
        <v>3</v>
      </c>
      <c r="HR94" s="15">
        <v>2</v>
      </c>
      <c r="HS94" s="15">
        <v>4</v>
      </c>
      <c r="HT94" s="15">
        <v>3</v>
      </c>
      <c r="HU94" s="15">
        <v>3</v>
      </c>
      <c r="HV94" s="15">
        <v>2</v>
      </c>
      <c r="HW94" s="15">
        <v>3.25</v>
      </c>
      <c r="HX94" s="15">
        <v>4.5</v>
      </c>
      <c r="HY94" s="15">
        <v>4</v>
      </c>
      <c r="HZ94" s="15">
        <v>3.25</v>
      </c>
      <c r="IA94" s="15">
        <v>3.25</v>
      </c>
      <c r="IB94" s="15">
        <v>3.5</v>
      </c>
      <c r="IC94" s="15">
        <v>3</v>
      </c>
      <c r="ID94" s="15">
        <v>4</v>
      </c>
      <c r="IE94" s="15">
        <v>2.25</v>
      </c>
      <c r="IF94" s="15">
        <v>2.75</v>
      </c>
      <c r="IG94" s="15">
        <v>3</v>
      </c>
      <c r="IH94" s="15">
        <v>2.75</v>
      </c>
      <c r="II94" s="15">
        <v>3</v>
      </c>
      <c r="IJ94" s="15">
        <v>2.75</v>
      </c>
      <c r="IK94" s="15">
        <v>3.25</v>
      </c>
      <c r="IL94" s="15">
        <v>2.5</v>
      </c>
      <c r="IM94" s="15">
        <v>3</v>
      </c>
      <c r="IN94" s="15">
        <v>3.75</v>
      </c>
      <c r="IO94" s="15">
        <v>3.25</v>
      </c>
      <c r="IP94" s="15">
        <v>2.5</v>
      </c>
      <c r="IQ94" s="15">
        <v>3.75</v>
      </c>
      <c r="IR94" s="15">
        <v>2.75</v>
      </c>
      <c r="IS94" s="15">
        <v>3.25</v>
      </c>
      <c r="IT94" s="15">
        <v>3.75</v>
      </c>
      <c r="IU94" s="15">
        <v>3</v>
      </c>
      <c r="IV94" s="15">
        <v>4.25</v>
      </c>
      <c r="IW94" s="15">
        <v>3.5</v>
      </c>
      <c r="IX94" s="15">
        <v>4</v>
      </c>
      <c r="IY94" s="15">
        <v>3.5</v>
      </c>
      <c r="IZ94" s="15">
        <v>3.5</v>
      </c>
    </row>
    <row r="95" spans="1:260" s="12" customFormat="1" x14ac:dyDescent="0.3">
      <c r="A95" s="15">
        <v>99</v>
      </c>
      <c r="B95" s="15" t="s">
        <v>467</v>
      </c>
      <c r="C95" s="16">
        <v>40</v>
      </c>
      <c r="D95" s="15" t="s">
        <v>288</v>
      </c>
      <c r="E95" s="15" t="s">
        <v>289</v>
      </c>
      <c r="F95" s="15" t="s">
        <v>290</v>
      </c>
      <c r="G95" s="15" t="s">
        <v>261</v>
      </c>
      <c r="H95" s="15" t="s">
        <v>354</v>
      </c>
      <c r="I95" s="15" t="s">
        <v>270</v>
      </c>
      <c r="J95" s="15" t="s">
        <v>441</v>
      </c>
      <c r="K95" s="15" t="s">
        <v>277</v>
      </c>
      <c r="L95" s="15" t="s">
        <v>281</v>
      </c>
      <c r="M95" s="15" t="s">
        <v>442</v>
      </c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>
        <v>0</v>
      </c>
      <c r="AE95" s="15">
        <f>1/2</f>
        <v>0.5</v>
      </c>
      <c r="AF95" s="15">
        <f>4098.927/1000</f>
        <v>4.0989269999999998</v>
      </c>
      <c r="AG95" s="15">
        <v>0</v>
      </c>
      <c r="AH95" s="15">
        <v>0</v>
      </c>
      <c r="AI95" s="15"/>
      <c r="AJ95" s="15"/>
      <c r="AK95" s="15">
        <v>3</v>
      </c>
      <c r="AL95" s="15">
        <f>1/8</f>
        <v>0.125</v>
      </c>
      <c r="AM95" s="15"/>
      <c r="AN95" s="15">
        <f>1.1*3</f>
        <v>3.3000000000000003</v>
      </c>
      <c r="AO95" s="15">
        <v>0</v>
      </c>
      <c r="AP95" s="15">
        <f>3/3</f>
        <v>1</v>
      </c>
      <c r="AQ95" s="15">
        <f>33162.51/1000</f>
        <v>33.162510000000005</v>
      </c>
      <c r="AR95" s="15">
        <f>0.3075</f>
        <v>0.3075</v>
      </c>
      <c r="AS95" s="15">
        <v>0</v>
      </c>
      <c r="AT95" s="15"/>
      <c r="AU95" s="15"/>
      <c r="AV95" s="15"/>
      <c r="AW95" s="15"/>
      <c r="AX95" s="15"/>
      <c r="AY95" s="15"/>
      <c r="AZ95" s="15">
        <v>0</v>
      </c>
      <c r="BA95" s="15">
        <f t="shared" si="28"/>
        <v>1</v>
      </c>
      <c r="BB95" s="15">
        <f>6378.962/1000</f>
        <v>6.3789620000000005</v>
      </c>
      <c r="BC95" s="15">
        <v>0</v>
      </c>
      <c r="BD95" s="15">
        <v>0</v>
      </c>
      <c r="BE95" s="15"/>
      <c r="BF95" s="15"/>
      <c r="BG95" s="15"/>
      <c r="BH95" s="15"/>
      <c r="BI95" s="15"/>
      <c r="BJ95" s="15"/>
      <c r="BK95" s="15">
        <v>0</v>
      </c>
      <c r="BL95" s="15">
        <f t="shared" si="33"/>
        <v>1</v>
      </c>
      <c r="BM95" s="15">
        <f>12958.1/1000</f>
        <v>12.9581</v>
      </c>
      <c r="BN95" s="15">
        <v>0</v>
      </c>
      <c r="BO95" s="15"/>
      <c r="BP95" s="15"/>
      <c r="BQ95" s="15"/>
      <c r="BR95" s="15"/>
      <c r="BS95" s="15">
        <v>0</v>
      </c>
      <c r="BT95" s="15">
        <f t="shared" si="31"/>
        <v>1</v>
      </c>
      <c r="BU95" s="15">
        <f>24286.2/1000</f>
        <v>24.286200000000001</v>
      </c>
      <c r="BV95" s="15">
        <v>0</v>
      </c>
      <c r="BW95" s="15">
        <v>1</v>
      </c>
      <c r="BX95" s="15">
        <v>1</v>
      </c>
      <c r="BY95" s="15">
        <f>3/6</f>
        <v>0.5</v>
      </c>
      <c r="BZ95" s="15"/>
      <c r="CA95" s="15"/>
      <c r="CB95" s="15"/>
      <c r="CC95" s="15"/>
      <c r="CD95" s="15">
        <v>0</v>
      </c>
      <c r="CE95" s="15">
        <f t="shared" si="32"/>
        <v>1</v>
      </c>
      <c r="CF95" s="15">
        <f>22424.6/1000</f>
        <v>22.424599999999998</v>
      </c>
      <c r="CG95" s="15">
        <f>0.405</f>
        <v>0.40500000000000003</v>
      </c>
      <c r="CH95" s="15">
        <v>0</v>
      </c>
      <c r="CI95" s="15"/>
      <c r="CJ95" s="15"/>
      <c r="CK95" s="15">
        <f t="shared" si="22"/>
        <v>103.30929900000001</v>
      </c>
      <c r="CL95" s="15">
        <f>1/8</f>
        <v>0.125</v>
      </c>
      <c r="CM95" s="15">
        <v>1</v>
      </c>
      <c r="CN95" s="15">
        <v>1</v>
      </c>
      <c r="CO95" s="15">
        <f>Table1[[#This Row],[TotalTrapsRisked]]/5</f>
        <v>0.2</v>
      </c>
      <c r="CP95" s="15">
        <v>0</v>
      </c>
      <c r="CQ95" s="15">
        <v>0</v>
      </c>
      <c r="CR95" s="15">
        <v>0.35416666666666669</v>
      </c>
      <c r="CS95" s="15">
        <v>0.5</v>
      </c>
      <c r="CT95" s="15">
        <v>0</v>
      </c>
      <c r="CU95" s="15">
        <v>200</v>
      </c>
      <c r="CV95" s="15">
        <v>550</v>
      </c>
      <c r="CW95" s="15">
        <v>0</v>
      </c>
      <c r="CX95" s="15"/>
      <c r="CY95" s="15"/>
      <c r="CZ95" s="15"/>
      <c r="DA95" s="15"/>
      <c r="DB95" s="15"/>
      <c r="DC95" s="15"/>
      <c r="DD95" s="15">
        <v>0</v>
      </c>
      <c r="DE95" s="15">
        <v>0</v>
      </c>
      <c r="DF95" s="15">
        <v>5</v>
      </c>
      <c r="DG95" s="15">
        <v>1</v>
      </c>
      <c r="DH95" s="15">
        <v>4</v>
      </c>
      <c r="DI95" s="15">
        <v>2</v>
      </c>
      <c r="DJ95" s="15">
        <v>4</v>
      </c>
      <c r="DK95" s="15">
        <v>2</v>
      </c>
      <c r="DL95" s="15">
        <v>3</v>
      </c>
      <c r="DM95" s="15">
        <v>4</v>
      </c>
      <c r="DN95" s="15">
        <v>1</v>
      </c>
      <c r="DO95" s="15">
        <v>4</v>
      </c>
      <c r="DP95" s="15">
        <v>2</v>
      </c>
      <c r="DQ95" s="15">
        <v>4</v>
      </c>
      <c r="DR95" s="15">
        <v>2</v>
      </c>
      <c r="DS95" s="15">
        <v>5</v>
      </c>
      <c r="DT95" s="15">
        <v>5</v>
      </c>
      <c r="DU95" s="15">
        <v>4</v>
      </c>
      <c r="DV95" s="15">
        <v>2</v>
      </c>
      <c r="DW95" s="15">
        <v>4</v>
      </c>
      <c r="DX95" s="15">
        <v>5</v>
      </c>
      <c r="DY95" s="15">
        <v>5</v>
      </c>
      <c r="DZ95" s="15">
        <v>2</v>
      </c>
      <c r="EA95" s="15">
        <v>4</v>
      </c>
      <c r="EB95" s="15">
        <v>5</v>
      </c>
      <c r="EC95" s="15">
        <v>2</v>
      </c>
      <c r="ED95" s="15">
        <v>2</v>
      </c>
      <c r="EE95" s="15">
        <v>2</v>
      </c>
      <c r="EF95" s="15">
        <v>2</v>
      </c>
      <c r="EG95" s="15">
        <v>1</v>
      </c>
      <c r="EH95" s="15">
        <v>3</v>
      </c>
      <c r="EI95" s="15">
        <v>1</v>
      </c>
      <c r="EJ95" s="15">
        <v>4</v>
      </c>
      <c r="EK95" s="15">
        <v>2</v>
      </c>
      <c r="EL95" s="15">
        <v>4</v>
      </c>
      <c r="EM95" s="15">
        <v>2</v>
      </c>
      <c r="EN95" s="15">
        <v>4</v>
      </c>
      <c r="EO95" s="15">
        <v>2</v>
      </c>
      <c r="EP95" s="15">
        <v>2</v>
      </c>
      <c r="EQ95" s="15">
        <v>4</v>
      </c>
      <c r="ER95" s="15">
        <v>1</v>
      </c>
      <c r="ES95" s="15">
        <v>2</v>
      </c>
      <c r="ET95" s="15">
        <v>4</v>
      </c>
      <c r="EU95" s="15">
        <v>1</v>
      </c>
      <c r="EV95" s="15">
        <v>2</v>
      </c>
      <c r="EW95" s="15">
        <v>4</v>
      </c>
      <c r="EX95" s="15">
        <v>4</v>
      </c>
      <c r="EY95" s="15">
        <v>5</v>
      </c>
      <c r="EZ95" s="15">
        <v>2</v>
      </c>
      <c r="FA95" s="15">
        <v>4</v>
      </c>
      <c r="FB95" s="15">
        <v>1</v>
      </c>
      <c r="FC95" s="15">
        <v>2</v>
      </c>
      <c r="FD95" s="15">
        <v>4</v>
      </c>
      <c r="FE95" s="15">
        <v>4</v>
      </c>
      <c r="FF95" s="15">
        <v>5</v>
      </c>
      <c r="FG95" s="15">
        <v>3</v>
      </c>
      <c r="FH95" s="15">
        <v>3</v>
      </c>
      <c r="FI95" s="15">
        <v>2</v>
      </c>
      <c r="FJ95" s="15">
        <v>2</v>
      </c>
      <c r="FK95" s="15">
        <v>4</v>
      </c>
      <c r="FL95" s="15">
        <v>2</v>
      </c>
      <c r="FM95" s="15">
        <v>1</v>
      </c>
      <c r="FN95" s="15">
        <v>2</v>
      </c>
      <c r="FO95" s="15">
        <v>2</v>
      </c>
      <c r="FP95" s="15">
        <v>4</v>
      </c>
      <c r="FQ95" s="15">
        <v>2</v>
      </c>
      <c r="FR95" s="15">
        <v>4</v>
      </c>
      <c r="FS95" s="15">
        <v>2</v>
      </c>
      <c r="FT95" s="15">
        <v>2</v>
      </c>
      <c r="FU95" s="15">
        <v>2</v>
      </c>
      <c r="FV95" s="15">
        <v>4</v>
      </c>
      <c r="FW95" s="15">
        <v>1</v>
      </c>
      <c r="FX95" s="15">
        <v>3</v>
      </c>
      <c r="FY95" s="15">
        <v>2</v>
      </c>
      <c r="FZ95" s="15">
        <v>2</v>
      </c>
      <c r="GA95" s="15">
        <v>4</v>
      </c>
      <c r="GB95" s="15">
        <v>1</v>
      </c>
      <c r="GC95" s="15">
        <v>1</v>
      </c>
      <c r="GD95" s="15">
        <v>2</v>
      </c>
      <c r="GE95" s="15">
        <v>2</v>
      </c>
      <c r="GF95" s="15">
        <v>2</v>
      </c>
      <c r="GG95" s="15">
        <v>1</v>
      </c>
      <c r="GH95" s="15">
        <v>1</v>
      </c>
      <c r="GI95" s="15">
        <v>2</v>
      </c>
      <c r="GJ95" s="15">
        <v>4</v>
      </c>
      <c r="GK95" s="15">
        <v>2</v>
      </c>
      <c r="GL95" s="15">
        <v>4</v>
      </c>
      <c r="GM95" s="15">
        <v>2</v>
      </c>
      <c r="GN95" s="15">
        <v>2</v>
      </c>
      <c r="GO95" s="15">
        <v>4</v>
      </c>
      <c r="GP95" s="15">
        <v>2</v>
      </c>
      <c r="GQ95" s="15">
        <v>2</v>
      </c>
      <c r="GR95" s="15">
        <v>2</v>
      </c>
      <c r="GS95" s="15">
        <v>2</v>
      </c>
      <c r="GT95" s="15">
        <v>2</v>
      </c>
      <c r="GU95" s="15">
        <v>4</v>
      </c>
      <c r="GV95" s="15">
        <v>4</v>
      </c>
      <c r="GW95" s="15">
        <v>3</v>
      </c>
      <c r="GX95" s="15">
        <v>4</v>
      </c>
      <c r="GY95" s="15">
        <v>4</v>
      </c>
      <c r="GZ95" s="15">
        <v>2</v>
      </c>
      <c r="HA95" s="15">
        <v>1</v>
      </c>
      <c r="HB95" s="15">
        <v>2</v>
      </c>
      <c r="HC95" s="15">
        <v>2</v>
      </c>
      <c r="HD95" s="15">
        <v>4</v>
      </c>
      <c r="HE95" s="15">
        <v>1</v>
      </c>
      <c r="HF95" s="15">
        <v>2</v>
      </c>
      <c r="HG95" s="15">
        <v>1</v>
      </c>
      <c r="HH95" s="15">
        <v>2</v>
      </c>
      <c r="HI95" s="15">
        <v>5</v>
      </c>
      <c r="HJ95" s="15">
        <v>2</v>
      </c>
      <c r="HK95" s="15">
        <v>1</v>
      </c>
      <c r="HL95" s="15">
        <v>2</v>
      </c>
      <c r="HM95" s="15">
        <v>4</v>
      </c>
      <c r="HN95" s="15">
        <v>1</v>
      </c>
      <c r="HO95" s="15">
        <v>5</v>
      </c>
      <c r="HP95" s="15">
        <v>1</v>
      </c>
      <c r="HQ95" s="15">
        <v>1</v>
      </c>
      <c r="HR95" s="15">
        <v>5</v>
      </c>
      <c r="HS95" s="15">
        <v>2</v>
      </c>
      <c r="HT95" s="15">
        <v>2</v>
      </c>
      <c r="HU95" s="15">
        <v>3</v>
      </c>
      <c r="HV95" s="15">
        <v>1</v>
      </c>
      <c r="HW95" s="15">
        <v>3.75</v>
      </c>
      <c r="HX95" s="15">
        <v>3.75</v>
      </c>
      <c r="HY95" s="15">
        <v>4.75</v>
      </c>
      <c r="HZ95" s="15">
        <v>4</v>
      </c>
      <c r="IA95" s="15">
        <v>3.5</v>
      </c>
      <c r="IB95" s="15">
        <v>4.75</v>
      </c>
      <c r="IC95" s="15">
        <v>3.25</v>
      </c>
      <c r="ID95" s="15">
        <v>2</v>
      </c>
      <c r="IE95" s="15">
        <v>3</v>
      </c>
      <c r="IF95" s="15">
        <v>3.75</v>
      </c>
      <c r="IG95" s="15">
        <v>2.5</v>
      </c>
      <c r="IH95" s="15">
        <v>1.75</v>
      </c>
      <c r="II95" s="15">
        <v>2.75</v>
      </c>
      <c r="IJ95" s="15">
        <v>2.75</v>
      </c>
      <c r="IK95" s="15">
        <v>2.25</v>
      </c>
      <c r="IL95" s="15">
        <v>1.75</v>
      </c>
      <c r="IM95" s="15">
        <v>3.25</v>
      </c>
      <c r="IN95" s="15">
        <v>2.5</v>
      </c>
      <c r="IO95" s="15">
        <v>4</v>
      </c>
      <c r="IP95" s="15">
        <v>4</v>
      </c>
      <c r="IQ95" s="15">
        <v>2.75</v>
      </c>
      <c r="IR95" s="15">
        <v>3.5</v>
      </c>
      <c r="IS95" s="15">
        <v>2.75</v>
      </c>
      <c r="IT95" s="15">
        <v>3.25</v>
      </c>
      <c r="IU95" s="15">
        <v>2</v>
      </c>
      <c r="IV95" s="15">
        <v>5</v>
      </c>
      <c r="IW95" s="15">
        <v>4.5</v>
      </c>
      <c r="IX95" s="15">
        <v>4</v>
      </c>
      <c r="IY95" s="15">
        <v>3.5</v>
      </c>
      <c r="IZ95" s="15">
        <v>3</v>
      </c>
    </row>
    <row r="96" spans="1:260" s="12" customFormat="1" x14ac:dyDescent="0.3">
      <c r="A96" s="15">
        <v>100</v>
      </c>
      <c r="B96" s="15" t="s">
        <v>467</v>
      </c>
      <c r="C96" s="16">
        <v>39</v>
      </c>
      <c r="D96" s="15" t="s">
        <v>288</v>
      </c>
      <c r="E96" s="15" t="s">
        <v>289</v>
      </c>
      <c r="F96" s="15" t="s">
        <v>290</v>
      </c>
      <c r="G96" s="15" t="s">
        <v>268</v>
      </c>
      <c r="H96" s="15" t="s">
        <v>340</v>
      </c>
      <c r="I96" s="15" t="s">
        <v>270</v>
      </c>
      <c r="J96" s="15" t="s">
        <v>426</v>
      </c>
      <c r="K96" s="15" t="s">
        <v>328</v>
      </c>
      <c r="L96" s="15" t="s">
        <v>295</v>
      </c>
      <c r="M96" s="15" t="s">
        <v>296</v>
      </c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>
        <v>1</v>
      </c>
      <c r="AA96" s="15">
        <f>0/5</f>
        <v>0</v>
      </c>
      <c r="AB96" s="15"/>
      <c r="AC96" s="15">
        <f>1.05</f>
        <v>1.05</v>
      </c>
      <c r="AD96" s="15">
        <v>0</v>
      </c>
      <c r="AE96" s="15">
        <f>2/2</f>
        <v>1</v>
      </c>
      <c r="AF96" s="15">
        <f>14188.66/1000</f>
        <v>14.18866</v>
      </c>
      <c r="AG96" s="15">
        <v>0</v>
      </c>
      <c r="AH96" s="15">
        <v>0</v>
      </c>
      <c r="AI96" s="15"/>
      <c r="AJ96" s="15"/>
      <c r="AK96" s="15">
        <v>2</v>
      </c>
      <c r="AL96" s="15">
        <f>1/8</f>
        <v>0.125</v>
      </c>
      <c r="AM96" s="15"/>
      <c r="AN96" s="15">
        <f>1.1+1.0025</f>
        <v>2.1025</v>
      </c>
      <c r="AO96" s="15">
        <v>0</v>
      </c>
      <c r="AP96" s="15">
        <f>2/3</f>
        <v>0.66666666666666663</v>
      </c>
      <c r="AQ96" s="15">
        <f>13248.26/1000</f>
        <v>13.24826</v>
      </c>
      <c r="AR96" s="15">
        <f>0.4375</f>
        <v>0.4375</v>
      </c>
      <c r="AS96" s="15">
        <v>0</v>
      </c>
      <c r="AT96" s="15"/>
      <c r="AU96" s="15"/>
      <c r="AV96" s="15"/>
      <c r="AW96" s="15"/>
      <c r="AX96" s="15"/>
      <c r="AY96" s="15"/>
      <c r="AZ96" s="15">
        <v>0</v>
      </c>
      <c r="BA96" s="15">
        <f t="shared" si="28"/>
        <v>1</v>
      </c>
      <c r="BB96" s="15">
        <f>8125/1000</f>
        <v>8.125</v>
      </c>
      <c r="BC96" s="15">
        <v>0</v>
      </c>
      <c r="BD96" s="15">
        <v>0</v>
      </c>
      <c r="BE96" s="15"/>
      <c r="BF96" s="15"/>
      <c r="BG96" s="15"/>
      <c r="BH96" s="15"/>
      <c r="BI96" s="15"/>
      <c r="BJ96" s="15"/>
      <c r="BK96" s="15">
        <v>0</v>
      </c>
      <c r="BL96" s="15">
        <f t="shared" si="33"/>
        <v>1</v>
      </c>
      <c r="BM96" s="15">
        <f>18485.44/1000</f>
        <v>18.485439999999997</v>
      </c>
      <c r="BN96" s="15">
        <v>0</v>
      </c>
      <c r="BO96" s="15"/>
      <c r="BP96" s="15"/>
      <c r="BQ96" s="15"/>
      <c r="BR96" s="15"/>
      <c r="BS96" s="15">
        <v>0</v>
      </c>
      <c r="BT96" s="15">
        <f t="shared" si="31"/>
        <v>1</v>
      </c>
      <c r="BU96" s="15">
        <f>9207.567/1000</f>
        <v>9.2075669999999992</v>
      </c>
      <c r="BV96" s="15">
        <v>0</v>
      </c>
      <c r="BW96" s="15">
        <v>0</v>
      </c>
      <c r="BX96" s="15"/>
      <c r="BY96" s="15"/>
      <c r="BZ96" s="15"/>
      <c r="CA96" s="15"/>
      <c r="CB96" s="15"/>
      <c r="CC96" s="15"/>
      <c r="CD96" s="15">
        <v>0</v>
      </c>
      <c r="CE96" s="15">
        <f t="shared" si="32"/>
        <v>1</v>
      </c>
      <c r="CF96" s="15">
        <f>16786.34/1000</f>
        <v>16.786339999999999</v>
      </c>
      <c r="CG96" s="15">
        <f>0.03</f>
        <v>0.03</v>
      </c>
      <c r="CH96" s="15">
        <v>0</v>
      </c>
      <c r="CI96" s="15"/>
      <c r="CJ96" s="15"/>
      <c r="CK96" s="15">
        <f t="shared" si="22"/>
        <v>80.041266999999991</v>
      </c>
      <c r="CL96" s="15">
        <f>2/8</f>
        <v>0.25</v>
      </c>
      <c r="CM96" s="15">
        <v>1</v>
      </c>
      <c r="CN96" s="15">
        <v>0</v>
      </c>
      <c r="CO96" s="15">
        <f>Table1[[#This Row],[TotalTrapsRisked]]/5</f>
        <v>0</v>
      </c>
      <c r="CP96" s="15">
        <v>0</v>
      </c>
      <c r="CQ96" s="15">
        <v>0</v>
      </c>
      <c r="CR96" s="15">
        <v>0.33333333333333331</v>
      </c>
      <c r="CS96" s="15">
        <v>0.55454545454545456</v>
      </c>
      <c r="CT96" s="15">
        <v>0</v>
      </c>
      <c r="CU96" s="15">
        <v>284</v>
      </c>
      <c r="CV96" s="15">
        <v>610</v>
      </c>
      <c r="CW96" s="15">
        <v>0</v>
      </c>
      <c r="CX96" s="15"/>
      <c r="CY96" s="15"/>
      <c r="CZ96" s="15"/>
      <c r="DA96" s="15"/>
      <c r="DB96" s="15"/>
      <c r="DC96" s="15"/>
      <c r="DD96" s="15">
        <v>0</v>
      </c>
      <c r="DE96" s="15">
        <v>0</v>
      </c>
      <c r="DF96" s="15">
        <v>5</v>
      </c>
      <c r="DG96" s="15">
        <v>5</v>
      </c>
      <c r="DH96" s="15">
        <v>4</v>
      </c>
      <c r="DI96" s="15">
        <v>4</v>
      </c>
      <c r="DJ96" s="15">
        <v>2</v>
      </c>
      <c r="DK96" s="15">
        <v>4</v>
      </c>
      <c r="DL96" s="15">
        <v>5</v>
      </c>
      <c r="DM96" s="15">
        <v>4</v>
      </c>
      <c r="DN96" s="15">
        <v>1</v>
      </c>
      <c r="DO96" s="15">
        <v>4</v>
      </c>
      <c r="DP96" s="15">
        <v>5</v>
      </c>
      <c r="DQ96" s="15">
        <v>2</v>
      </c>
      <c r="DR96" s="15">
        <v>5</v>
      </c>
      <c r="DS96" s="15">
        <v>5</v>
      </c>
      <c r="DT96" s="15">
        <v>5</v>
      </c>
      <c r="DU96" s="15">
        <v>2</v>
      </c>
      <c r="DV96" s="15">
        <v>2</v>
      </c>
      <c r="DW96" s="15">
        <v>5</v>
      </c>
      <c r="DX96" s="15">
        <v>1</v>
      </c>
      <c r="DY96" s="15">
        <v>5</v>
      </c>
      <c r="DZ96" s="15">
        <v>4</v>
      </c>
      <c r="EA96" s="15">
        <v>4</v>
      </c>
      <c r="EB96" s="15">
        <v>1</v>
      </c>
      <c r="EC96" s="15">
        <v>1</v>
      </c>
      <c r="ED96" s="15">
        <v>1</v>
      </c>
      <c r="EE96" s="15">
        <v>4</v>
      </c>
      <c r="EF96" s="15">
        <v>4</v>
      </c>
      <c r="EG96" s="15">
        <v>5</v>
      </c>
      <c r="EH96" s="15">
        <v>1</v>
      </c>
      <c r="EI96" s="15">
        <v>1</v>
      </c>
      <c r="EJ96" s="15">
        <v>5</v>
      </c>
      <c r="EK96" s="15">
        <v>4</v>
      </c>
      <c r="EL96" s="15">
        <v>4</v>
      </c>
      <c r="EM96" s="15">
        <v>4</v>
      </c>
      <c r="EN96" s="15">
        <v>1</v>
      </c>
      <c r="EO96" s="15">
        <v>4</v>
      </c>
      <c r="EP96" s="15">
        <v>5</v>
      </c>
      <c r="EQ96" s="15">
        <v>5</v>
      </c>
      <c r="ER96" s="15">
        <v>1</v>
      </c>
      <c r="ES96" s="15">
        <v>2</v>
      </c>
      <c r="ET96" s="15">
        <v>1</v>
      </c>
      <c r="EU96" s="15">
        <v>1</v>
      </c>
      <c r="EV96" s="15">
        <v>4</v>
      </c>
      <c r="EW96" s="15">
        <v>5</v>
      </c>
      <c r="EX96" s="15">
        <v>5</v>
      </c>
      <c r="EY96" s="15">
        <v>2</v>
      </c>
      <c r="EZ96" s="15">
        <v>1</v>
      </c>
      <c r="FA96" s="15">
        <v>5</v>
      </c>
      <c r="FB96" s="15">
        <v>1</v>
      </c>
      <c r="FC96" s="15">
        <v>2</v>
      </c>
      <c r="FD96" s="15">
        <v>1</v>
      </c>
      <c r="FE96" s="15">
        <v>1</v>
      </c>
      <c r="FF96" s="15">
        <v>5</v>
      </c>
      <c r="FG96" s="15">
        <v>2</v>
      </c>
      <c r="FH96" s="15">
        <v>2</v>
      </c>
      <c r="FI96" s="15">
        <v>3</v>
      </c>
      <c r="FJ96" s="15">
        <v>4</v>
      </c>
      <c r="FK96" s="15">
        <v>1</v>
      </c>
      <c r="FL96" s="15">
        <v>5</v>
      </c>
      <c r="FM96" s="15">
        <v>4</v>
      </c>
      <c r="FN96" s="15">
        <v>5</v>
      </c>
      <c r="FO96" s="15">
        <v>4</v>
      </c>
      <c r="FP96" s="15">
        <v>5</v>
      </c>
      <c r="FQ96" s="15">
        <v>4</v>
      </c>
      <c r="FR96" s="15">
        <v>2</v>
      </c>
      <c r="FS96" s="15">
        <v>4</v>
      </c>
      <c r="FT96" s="15">
        <v>1</v>
      </c>
      <c r="FU96" s="15">
        <v>4</v>
      </c>
      <c r="FV96" s="15">
        <v>4</v>
      </c>
      <c r="FW96" s="15">
        <v>1</v>
      </c>
      <c r="FX96" s="15">
        <v>2</v>
      </c>
      <c r="FY96" s="15">
        <v>5</v>
      </c>
      <c r="FZ96" s="15">
        <v>1</v>
      </c>
      <c r="GA96" s="15">
        <v>2</v>
      </c>
      <c r="GB96" s="15">
        <v>1</v>
      </c>
      <c r="GC96" s="15">
        <v>1</v>
      </c>
      <c r="GD96" s="15">
        <v>2</v>
      </c>
      <c r="GE96" s="15">
        <v>1</v>
      </c>
      <c r="GF96" s="15">
        <v>4</v>
      </c>
      <c r="GG96" s="15">
        <v>1</v>
      </c>
      <c r="GH96" s="15">
        <v>4</v>
      </c>
      <c r="GI96" s="15">
        <v>4</v>
      </c>
      <c r="GJ96" s="15">
        <v>1</v>
      </c>
      <c r="GK96" s="15">
        <v>4</v>
      </c>
      <c r="GL96" s="15">
        <v>1</v>
      </c>
      <c r="GM96" s="15">
        <v>4</v>
      </c>
      <c r="GN96" s="15">
        <v>4</v>
      </c>
      <c r="GO96" s="15">
        <v>5</v>
      </c>
      <c r="GP96" s="15">
        <v>1</v>
      </c>
      <c r="GQ96" s="15">
        <v>1</v>
      </c>
      <c r="GR96" s="15">
        <v>1</v>
      </c>
      <c r="GS96" s="15">
        <v>5</v>
      </c>
      <c r="GT96" s="15">
        <v>4</v>
      </c>
      <c r="GU96" s="15">
        <v>4</v>
      </c>
      <c r="GV96" s="15">
        <v>4</v>
      </c>
      <c r="GW96" s="15">
        <v>2</v>
      </c>
      <c r="GX96" s="15">
        <v>2</v>
      </c>
      <c r="GY96" s="15">
        <v>2</v>
      </c>
      <c r="GZ96" s="15">
        <v>4</v>
      </c>
      <c r="HA96" s="15">
        <v>1</v>
      </c>
      <c r="HB96" s="15">
        <v>1</v>
      </c>
      <c r="HC96" s="15">
        <v>2</v>
      </c>
      <c r="HD96" s="15">
        <v>4</v>
      </c>
      <c r="HE96" s="15">
        <v>1</v>
      </c>
      <c r="HF96" s="15">
        <v>1</v>
      </c>
      <c r="HG96" s="15">
        <v>1</v>
      </c>
      <c r="HH96" s="15">
        <v>1</v>
      </c>
      <c r="HI96" s="15">
        <v>5</v>
      </c>
      <c r="HJ96" s="15">
        <v>5</v>
      </c>
      <c r="HK96" s="15">
        <v>4</v>
      </c>
      <c r="HL96" s="15">
        <v>2</v>
      </c>
      <c r="HM96" s="15">
        <v>2</v>
      </c>
      <c r="HN96" s="15">
        <v>1</v>
      </c>
      <c r="HO96" s="15">
        <v>5</v>
      </c>
      <c r="HP96" s="15">
        <v>1</v>
      </c>
      <c r="HQ96" s="15">
        <v>5</v>
      </c>
      <c r="HR96" s="15">
        <v>1</v>
      </c>
      <c r="HS96" s="15">
        <v>2</v>
      </c>
      <c r="HT96" s="15">
        <v>5</v>
      </c>
      <c r="HU96" s="15">
        <v>1</v>
      </c>
      <c r="HV96" s="15">
        <v>1</v>
      </c>
      <c r="HW96" s="15">
        <v>1.75</v>
      </c>
      <c r="HX96" s="15">
        <v>4.25</v>
      </c>
      <c r="HY96" s="15">
        <v>5</v>
      </c>
      <c r="HZ96" s="15">
        <v>3.25</v>
      </c>
      <c r="IA96" s="15">
        <v>1.5</v>
      </c>
      <c r="IB96" s="15">
        <v>4.25</v>
      </c>
      <c r="IC96" s="15">
        <v>5</v>
      </c>
      <c r="ID96" s="15">
        <v>4</v>
      </c>
      <c r="IE96" s="15">
        <v>3.75</v>
      </c>
      <c r="IF96" s="15">
        <v>2.75</v>
      </c>
      <c r="IG96" s="15">
        <v>3.75</v>
      </c>
      <c r="IH96" s="15">
        <v>4</v>
      </c>
      <c r="II96" s="15">
        <v>3.25</v>
      </c>
      <c r="IJ96" s="15">
        <v>4.75</v>
      </c>
      <c r="IK96" s="15">
        <v>1.5</v>
      </c>
      <c r="IL96" s="15">
        <v>1.25</v>
      </c>
      <c r="IM96" s="15">
        <v>1.75</v>
      </c>
      <c r="IN96" s="15">
        <v>3.75</v>
      </c>
      <c r="IO96" s="15">
        <v>4.25</v>
      </c>
      <c r="IP96" s="15">
        <v>3.25</v>
      </c>
      <c r="IQ96" s="15">
        <v>4.5</v>
      </c>
      <c r="IR96" s="15">
        <v>2.25</v>
      </c>
      <c r="IS96" s="15">
        <v>1.25</v>
      </c>
      <c r="IT96" s="15">
        <v>3</v>
      </c>
      <c r="IU96" s="15">
        <v>3.5</v>
      </c>
      <c r="IV96" s="15">
        <v>5</v>
      </c>
      <c r="IW96" s="15">
        <v>5</v>
      </c>
      <c r="IX96" s="15">
        <v>4.25</v>
      </c>
      <c r="IY96" s="15">
        <v>4.75</v>
      </c>
      <c r="IZ96" s="15">
        <v>4</v>
      </c>
    </row>
    <row r="97" spans="1:260" s="12" customFormat="1" x14ac:dyDescent="0.3">
      <c r="A97" s="15">
        <v>101</v>
      </c>
      <c r="B97" s="15" t="s">
        <v>469</v>
      </c>
      <c r="C97" s="16">
        <v>33</v>
      </c>
      <c r="D97" s="15" t="s">
        <v>258</v>
      </c>
      <c r="E97" s="15" t="s">
        <v>289</v>
      </c>
      <c r="F97" s="15" t="s">
        <v>290</v>
      </c>
      <c r="G97" s="15" t="s">
        <v>353</v>
      </c>
      <c r="H97" s="15" t="s">
        <v>262</v>
      </c>
      <c r="I97" s="15" t="s">
        <v>270</v>
      </c>
      <c r="J97" s="15" t="s">
        <v>429</v>
      </c>
      <c r="K97" s="15" t="s">
        <v>277</v>
      </c>
      <c r="L97" s="15" t="s">
        <v>443</v>
      </c>
      <c r="M97" s="15" t="s">
        <v>444</v>
      </c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>
        <v>0</v>
      </c>
      <c r="AE97" s="15">
        <f>2/2</f>
        <v>1</v>
      </c>
      <c r="AF97" s="15">
        <f>6655.239/1000</f>
        <v>6.6552389999999999</v>
      </c>
      <c r="AG97" s="15">
        <v>0</v>
      </c>
      <c r="AH97" s="15">
        <v>0</v>
      </c>
      <c r="AI97" s="15"/>
      <c r="AJ97" s="15"/>
      <c r="AK97" s="15">
        <v>0</v>
      </c>
      <c r="AL97" s="15">
        <f>3/8</f>
        <v>0.375</v>
      </c>
      <c r="AM97" s="15">
        <f>14696.26/1000</f>
        <v>14.696260000000001</v>
      </c>
      <c r="AN97" s="15">
        <f>0.1825</f>
        <v>0.1825</v>
      </c>
      <c r="AO97" s="15"/>
      <c r="AP97" s="15"/>
      <c r="AQ97" s="15"/>
      <c r="AR97" s="15"/>
      <c r="AS97" s="15">
        <v>0</v>
      </c>
      <c r="AT97" s="15"/>
      <c r="AU97" s="15"/>
      <c r="AV97" s="15">
        <v>2</v>
      </c>
      <c r="AW97" s="15">
        <f>1/4</f>
        <v>0.25</v>
      </c>
      <c r="AX97" s="15"/>
      <c r="AY97" s="15">
        <f>1.0775+1.0025</f>
        <v>2.08</v>
      </c>
      <c r="AZ97" s="15">
        <v>0</v>
      </c>
      <c r="BA97" s="15">
        <f t="shared" si="28"/>
        <v>1</v>
      </c>
      <c r="BB97" s="15">
        <f>5276.951/1000</f>
        <v>5.2769510000000004</v>
      </c>
      <c r="BC97" s="15">
        <v>0</v>
      </c>
      <c r="BD97" s="15">
        <v>0</v>
      </c>
      <c r="BE97" s="15"/>
      <c r="BF97" s="15"/>
      <c r="BG97" s="15"/>
      <c r="BH97" s="15"/>
      <c r="BI97" s="15"/>
      <c r="BJ97" s="15"/>
      <c r="BK97" s="15">
        <v>0</v>
      </c>
      <c r="BL97" s="15">
        <f t="shared" si="33"/>
        <v>1</v>
      </c>
      <c r="BM97" s="15">
        <f>12020.02/1000</f>
        <v>12.020020000000001</v>
      </c>
      <c r="BN97" s="15">
        <v>0</v>
      </c>
      <c r="BO97" s="15"/>
      <c r="BP97" s="15"/>
      <c r="BQ97" s="15"/>
      <c r="BR97" s="15"/>
      <c r="BS97" s="15">
        <v>0</v>
      </c>
      <c r="BT97" s="15">
        <f t="shared" si="31"/>
        <v>1</v>
      </c>
      <c r="BU97" s="15">
        <f>15576.75/1000</f>
        <v>15.576750000000001</v>
      </c>
      <c r="BV97" s="15">
        <v>0</v>
      </c>
      <c r="BW97" s="15">
        <v>0</v>
      </c>
      <c r="BX97" s="15"/>
      <c r="BY97" s="15"/>
      <c r="BZ97" s="15"/>
      <c r="CA97" s="15"/>
      <c r="CB97" s="15"/>
      <c r="CC97" s="15"/>
      <c r="CD97" s="15">
        <v>0</v>
      </c>
      <c r="CE97" s="15">
        <f t="shared" si="32"/>
        <v>1</v>
      </c>
      <c r="CF97" s="15">
        <f>13250.39/1000</f>
        <v>13.250389999999999</v>
      </c>
      <c r="CG97" s="15">
        <f>0.215</f>
        <v>0.215</v>
      </c>
      <c r="CH97" s="15">
        <v>0</v>
      </c>
      <c r="CI97" s="15"/>
      <c r="CJ97" s="15"/>
      <c r="CK97" s="15">
        <f t="shared" si="22"/>
        <v>67.475610000000003</v>
      </c>
      <c r="CL97" s="15">
        <f>2/8</f>
        <v>0.25</v>
      </c>
      <c r="CM97" s="15">
        <v>2</v>
      </c>
      <c r="CN97" s="15">
        <v>0</v>
      </c>
      <c r="CO97" s="15">
        <f>Table1[[#This Row],[TotalTrapsRisked]]/5</f>
        <v>0</v>
      </c>
      <c r="CP97" s="15">
        <v>0</v>
      </c>
      <c r="CQ97" s="15">
        <v>0</v>
      </c>
      <c r="CR97" s="15">
        <v>0.79166666666666663</v>
      </c>
      <c r="CS97" s="15">
        <v>0.90909090909090906</v>
      </c>
      <c r="CT97" s="15">
        <v>2</v>
      </c>
      <c r="CU97" s="15">
        <v>352</v>
      </c>
      <c r="CV97" s="15">
        <v>1200</v>
      </c>
      <c r="CW97" s="15">
        <v>2</v>
      </c>
      <c r="CX97" s="15">
        <v>1</v>
      </c>
      <c r="CY97" s="15">
        <v>1</v>
      </c>
      <c r="CZ97" s="15">
        <v>3</v>
      </c>
      <c r="DA97" s="15">
        <v>333</v>
      </c>
      <c r="DB97" s="15">
        <v>1400</v>
      </c>
      <c r="DC97" s="15">
        <v>3</v>
      </c>
      <c r="DD97" s="15">
        <v>1</v>
      </c>
      <c r="DE97" s="15">
        <v>0</v>
      </c>
      <c r="DF97" s="15">
        <v>4</v>
      </c>
      <c r="DG97" s="15">
        <v>4</v>
      </c>
      <c r="DH97" s="15">
        <v>4</v>
      </c>
      <c r="DI97" s="15">
        <v>4</v>
      </c>
      <c r="DJ97" s="15">
        <v>3</v>
      </c>
      <c r="DK97" s="15">
        <v>3</v>
      </c>
      <c r="DL97" s="15">
        <v>4</v>
      </c>
      <c r="DM97" s="15">
        <v>4</v>
      </c>
      <c r="DN97" s="15">
        <v>2</v>
      </c>
      <c r="DO97" s="15">
        <v>2</v>
      </c>
      <c r="DP97" s="15">
        <v>3</v>
      </c>
      <c r="DQ97" s="15">
        <v>3</v>
      </c>
      <c r="DR97" s="15">
        <v>4</v>
      </c>
      <c r="DS97" s="15">
        <v>4</v>
      </c>
      <c r="DT97" s="15">
        <v>4</v>
      </c>
      <c r="DU97" s="15">
        <v>3</v>
      </c>
      <c r="DV97" s="15">
        <v>3</v>
      </c>
      <c r="DW97" s="15">
        <v>4</v>
      </c>
      <c r="DX97" s="15">
        <v>4</v>
      </c>
      <c r="DY97" s="15">
        <v>4</v>
      </c>
      <c r="DZ97" s="15">
        <v>4</v>
      </c>
      <c r="EA97" s="15">
        <v>4</v>
      </c>
      <c r="EB97" s="15">
        <v>4</v>
      </c>
      <c r="EC97" s="15">
        <v>2</v>
      </c>
      <c r="ED97" s="15">
        <v>2</v>
      </c>
      <c r="EE97" s="15">
        <v>3</v>
      </c>
      <c r="EF97" s="15">
        <v>3</v>
      </c>
      <c r="EG97" s="15">
        <v>3</v>
      </c>
      <c r="EH97" s="15">
        <v>3</v>
      </c>
      <c r="EI97" s="15">
        <v>4</v>
      </c>
      <c r="EJ97" s="15">
        <v>4</v>
      </c>
      <c r="EK97" s="15">
        <v>4</v>
      </c>
      <c r="EL97" s="15">
        <v>2</v>
      </c>
      <c r="EM97" s="15">
        <v>3</v>
      </c>
      <c r="EN97" s="15">
        <v>3</v>
      </c>
      <c r="EO97" s="15">
        <v>4</v>
      </c>
      <c r="EP97" s="15">
        <v>4</v>
      </c>
      <c r="EQ97" s="15">
        <v>4</v>
      </c>
      <c r="ER97" s="15">
        <v>2</v>
      </c>
      <c r="ES97" s="15">
        <v>4</v>
      </c>
      <c r="ET97" s="15">
        <v>3</v>
      </c>
      <c r="EU97" s="15">
        <v>3</v>
      </c>
      <c r="EV97" s="15">
        <v>4</v>
      </c>
      <c r="EW97" s="15">
        <v>4</v>
      </c>
      <c r="EX97" s="15">
        <v>5</v>
      </c>
      <c r="EY97" s="15">
        <v>3</v>
      </c>
      <c r="EZ97" s="15">
        <v>4</v>
      </c>
      <c r="FA97" s="15">
        <v>3</v>
      </c>
      <c r="FB97" s="15">
        <v>3</v>
      </c>
      <c r="FC97" s="15">
        <v>3</v>
      </c>
      <c r="FD97" s="15">
        <v>3</v>
      </c>
      <c r="FE97" s="15">
        <v>4</v>
      </c>
      <c r="FF97" s="15">
        <v>4</v>
      </c>
      <c r="FG97" s="15">
        <v>2</v>
      </c>
      <c r="FH97" s="15">
        <v>3</v>
      </c>
      <c r="FI97" s="15">
        <v>3</v>
      </c>
      <c r="FJ97" s="15">
        <v>4</v>
      </c>
      <c r="FK97" s="15">
        <v>4</v>
      </c>
      <c r="FL97" s="15">
        <v>4</v>
      </c>
      <c r="FM97" s="15">
        <v>4</v>
      </c>
      <c r="FN97" s="15">
        <v>4</v>
      </c>
      <c r="FO97" s="15">
        <v>2</v>
      </c>
      <c r="FP97" s="15">
        <v>4</v>
      </c>
      <c r="FQ97" s="15">
        <v>3</v>
      </c>
      <c r="FR97" s="15">
        <v>4</v>
      </c>
      <c r="FS97" s="15">
        <v>3</v>
      </c>
      <c r="FT97" s="15">
        <v>3</v>
      </c>
      <c r="FU97" s="15">
        <v>3</v>
      </c>
      <c r="FV97" s="15">
        <v>4</v>
      </c>
      <c r="FW97" s="15">
        <v>2</v>
      </c>
      <c r="FX97" s="15">
        <v>4</v>
      </c>
      <c r="FY97" s="15">
        <v>4</v>
      </c>
      <c r="FZ97" s="15">
        <v>3</v>
      </c>
      <c r="GA97" s="15">
        <v>3</v>
      </c>
      <c r="GB97" s="15">
        <v>2</v>
      </c>
      <c r="GC97" s="15">
        <v>2</v>
      </c>
      <c r="GD97" s="15">
        <v>3</v>
      </c>
      <c r="GE97" s="15">
        <v>3</v>
      </c>
      <c r="GF97" s="15">
        <v>3</v>
      </c>
      <c r="GG97" s="15">
        <v>4</v>
      </c>
      <c r="GH97" s="15">
        <v>2</v>
      </c>
      <c r="GI97" s="15">
        <v>3</v>
      </c>
      <c r="GJ97" s="15">
        <v>4</v>
      </c>
      <c r="GK97" s="15">
        <v>4</v>
      </c>
      <c r="GL97" s="15">
        <v>2</v>
      </c>
      <c r="GM97" s="15">
        <v>4</v>
      </c>
      <c r="GN97" s="15">
        <v>3</v>
      </c>
      <c r="GO97" s="15">
        <v>4</v>
      </c>
      <c r="GP97" s="15">
        <v>2</v>
      </c>
      <c r="GQ97" s="15">
        <v>2</v>
      </c>
      <c r="GR97" s="15">
        <v>4</v>
      </c>
      <c r="GS97" s="15">
        <v>4</v>
      </c>
      <c r="GT97" s="15">
        <v>3</v>
      </c>
      <c r="GU97" s="15">
        <v>3</v>
      </c>
      <c r="GV97" s="15">
        <v>2</v>
      </c>
      <c r="GW97" s="15">
        <v>2</v>
      </c>
      <c r="GX97" s="15">
        <v>2</v>
      </c>
      <c r="GY97" s="15">
        <v>4</v>
      </c>
      <c r="GZ97" s="15">
        <v>3</v>
      </c>
      <c r="HA97" s="15">
        <v>2</v>
      </c>
      <c r="HB97" s="15">
        <v>3</v>
      </c>
      <c r="HC97" s="15">
        <v>3</v>
      </c>
      <c r="HD97" s="15">
        <v>3</v>
      </c>
      <c r="HE97" s="15">
        <v>2</v>
      </c>
      <c r="HF97" s="15">
        <v>2</v>
      </c>
      <c r="HG97" s="15">
        <v>2</v>
      </c>
      <c r="HH97" s="15">
        <v>2</v>
      </c>
      <c r="HI97" s="15">
        <v>4</v>
      </c>
      <c r="HJ97" s="15">
        <v>2</v>
      </c>
      <c r="HK97" s="15">
        <v>2</v>
      </c>
      <c r="HL97" s="15">
        <v>1</v>
      </c>
      <c r="HM97" s="15">
        <v>4</v>
      </c>
      <c r="HN97" s="15">
        <v>2</v>
      </c>
      <c r="HO97" s="15">
        <v>4</v>
      </c>
      <c r="HP97" s="15">
        <v>2</v>
      </c>
      <c r="HQ97" s="15">
        <v>3</v>
      </c>
      <c r="HR97" s="15">
        <v>3</v>
      </c>
      <c r="HS97" s="15">
        <v>4</v>
      </c>
      <c r="HT97" s="15">
        <v>4</v>
      </c>
      <c r="HU97" s="15">
        <v>4</v>
      </c>
      <c r="HV97" s="15">
        <v>2</v>
      </c>
      <c r="HW97" s="15">
        <v>3</v>
      </c>
      <c r="HX97" s="15">
        <v>2.25</v>
      </c>
      <c r="HY97" s="15">
        <v>4.25</v>
      </c>
      <c r="HZ97" s="15">
        <v>4</v>
      </c>
      <c r="IA97" s="15">
        <v>2.5</v>
      </c>
      <c r="IB97" s="15">
        <v>2.5</v>
      </c>
      <c r="IC97" s="15">
        <v>4</v>
      </c>
      <c r="ID97" s="15">
        <v>3.5</v>
      </c>
      <c r="IE97" s="15">
        <v>3.25</v>
      </c>
      <c r="IF97" s="15">
        <v>3.25</v>
      </c>
      <c r="IG97" s="15">
        <v>3</v>
      </c>
      <c r="IH97" s="15">
        <v>3</v>
      </c>
      <c r="II97" s="15">
        <v>3.75</v>
      </c>
      <c r="IJ97" s="15">
        <v>3.25</v>
      </c>
      <c r="IK97" s="15">
        <v>3</v>
      </c>
      <c r="IL97" s="15">
        <v>3</v>
      </c>
      <c r="IM97" s="15">
        <v>3.5</v>
      </c>
      <c r="IN97" s="15">
        <v>3.75</v>
      </c>
      <c r="IO97" s="15">
        <v>3.25</v>
      </c>
      <c r="IP97" s="15">
        <v>3.5</v>
      </c>
      <c r="IQ97" s="15">
        <v>3.75</v>
      </c>
      <c r="IR97" s="15">
        <v>3.5</v>
      </c>
      <c r="IS97" s="15">
        <v>2.5</v>
      </c>
      <c r="IT97" s="15">
        <v>3.25</v>
      </c>
      <c r="IU97" s="15">
        <v>3.5</v>
      </c>
      <c r="IV97" s="15">
        <v>4</v>
      </c>
      <c r="IW97" s="15">
        <v>4</v>
      </c>
      <c r="IX97" s="15">
        <v>2.75</v>
      </c>
      <c r="IY97" s="15">
        <v>4</v>
      </c>
      <c r="IZ97" s="15">
        <v>3.25</v>
      </c>
    </row>
    <row r="98" spans="1:260" s="12" customFormat="1" x14ac:dyDescent="0.3">
      <c r="A98" s="15">
        <v>102</v>
      </c>
      <c r="B98" s="15" t="s">
        <v>467</v>
      </c>
      <c r="C98" s="16">
        <v>31</v>
      </c>
      <c r="D98" s="15" t="s">
        <v>258</v>
      </c>
      <c r="E98" s="15" t="s">
        <v>259</v>
      </c>
      <c r="F98" s="15" t="s">
        <v>260</v>
      </c>
      <c r="G98" s="15" t="s">
        <v>268</v>
      </c>
      <c r="H98" s="15" t="s">
        <v>262</v>
      </c>
      <c r="I98" s="15" t="s">
        <v>270</v>
      </c>
      <c r="J98" s="15" t="s">
        <v>445</v>
      </c>
      <c r="K98" s="15" t="s">
        <v>272</v>
      </c>
      <c r="L98" s="15" t="s">
        <v>330</v>
      </c>
      <c r="M98" s="15" t="s">
        <v>349</v>
      </c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>
        <v>0</v>
      </c>
      <c r="AE98" s="15">
        <f>1/2</f>
        <v>0.5</v>
      </c>
      <c r="AF98" s="15">
        <f>18075.87/1000</f>
        <v>18.075869999999998</v>
      </c>
      <c r="AG98" s="15">
        <v>0</v>
      </c>
      <c r="AH98" s="15">
        <v>1</v>
      </c>
      <c r="AI98" s="15">
        <v>0</v>
      </c>
      <c r="AJ98" s="15">
        <f>5/5</f>
        <v>1</v>
      </c>
      <c r="AK98" s="15">
        <v>3</v>
      </c>
      <c r="AL98" s="15">
        <f>2/8</f>
        <v>0.25</v>
      </c>
      <c r="AM98" s="15"/>
      <c r="AN98" s="15">
        <f>1.1*3</f>
        <v>3.3000000000000003</v>
      </c>
      <c r="AO98" s="15">
        <v>0</v>
      </c>
      <c r="AP98" s="15">
        <f>2/3</f>
        <v>0.66666666666666663</v>
      </c>
      <c r="AQ98" s="15">
        <f>8213.653/1000</f>
        <v>8.2136530000000008</v>
      </c>
      <c r="AR98" s="15">
        <f>0.2375</f>
        <v>0.23749999999999999</v>
      </c>
      <c r="AS98" s="15">
        <v>0</v>
      </c>
      <c r="AT98" s="15"/>
      <c r="AU98" s="15"/>
      <c r="AV98" s="15"/>
      <c r="AW98" s="15"/>
      <c r="AX98" s="15"/>
      <c r="AY98" s="15"/>
      <c r="AZ98" s="15">
        <v>0</v>
      </c>
      <c r="BA98" s="15">
        <f t="shared" si="28"/>
        <v>1</v>
      </c>
      <c r="BB98" s="15">
        <f>8779.863/1000</f>
        <v>8.7798629999999989</v>
      </c>
      <c r="BC98" s="15">
        <v>0</v>
      </c>
      <c r="BD98" s="15">
        <v>0</v>
      </c>
      <c r="BE98" s="15"/>
      <c r="BF98" s="15"/>
      <c r="BG98" s="15"/>
      <c r="BH98" s="15"/>
      <c r="BI98" s="15"/>
      <c r="BJ98" s="15"/>
      <c r="BK98" s="15">
        <v>0</v>
      </c>
      <c r="BL98" s="15">
        <f t="shared" si="33"/>
        <v>1</v>
      </c>
      <c r="BM98" s="15">
        <f>22022.77/1000</f>
        <v>22.022770000000001</v>
      </c>
      <c r="BN98" s="15">
        <v>0</v>
      </c>
      <c r="BO98" s="15"/>
      <c r="BP98" s="15"/>
      <c r="BQ98" s="15"/>
      <c r="BR98" s="15"/>
      <c r="BS98" s="15">
        <v>0</v>
      </c>
      <c r="BT98" s="15">
        <f t="shared" si="31"/>
        <v>1</v>
      </c>
      <c r="BU98" s="15">
        <f>41649.39/1000</f>
        <v>41.649389999999997</v>
      </c>
      <c r="BV98" s="15">
        <v>0</v>
      </c>
      <c r="BW98" s="15">
        <v>1</v>
      </c>
      <c r="BX98" s="15">
        <v>0</v>
      </c>
      <c r="BY98" s="15">
        <f>6/6</f>
        <v>1</v>
      </c>
      <c r="BZ98" s="15"/>
      <c r="CA98" s="15"/>
      <c r="CB98" s="15"/>
      <c r="CC98" s="15"/>
      <c r="CD98" s="15">
        <v>0</v>
      </c>
      <c r="CE98" s="15">
        <f t="shared" si="32"/>
        <v>1</v>
      </c>
      <c r="CF98" s="15">
        <f>28724.17/1000</f>
        <v>28.724169999999997</v>
      </c>
      <c r="CG98" s="15">
        <f>0.4325</f>
        <v>0.4325</v>
      </c>
      <c r="CH98" s="15">
        <v>0</v>
      </c>
      <c r="CI98" s="15"/>
      <c r="CJ98" s="15"/>
      <c r="CK98" s="15">
        <f t="shared" si="22"/>
        <v>127.465716</v>
      </c>
      <c r="CL98" s="15">
        <f>1/8</f>
        <v>0.125</v>
      </c>
      <c r="CM98" s="15">
        <v>1</v>
      </c>
      <c r="CN98" s="15">
        <v>2</v>
      </c>
      <c r="CO98" s="15">
        <f>Table1[[#This Row],[TotalTrapsRisked]]/5</f>
        <v>0.4</v>
      </c>
      <c r="CP98" s="15">
        <v>0</v>
      </c>
      <c r="CQ98" s="15">
        <v>0</v>
      </c>
      <c r="CR98" s="15">
        <v>0.22916666666666666</v>
      </c>
      <c r="CS98" s="15">
        <v>0.35454545454545455</v>
      </c>
      <c r="CT98" s="15">
        <v>0</v>
      </c>
      <c r="CU98" s="15">
        <v>132</v>
      </c>
      <c r="CV98" s="15">
        <v>390</v>
      </c>
      <c r="CW98" s="15">
        <v>0</v>
      </c>
      <c r="CX98" s="15"/>
      <c r="CY98" s="15"/>
      <c r="CZ98" s="15"/>
      <c r="DA98" s="15"/>
      <c r="DB98" s="15"/>
      <c r="DC98" s="15"/>
      <c r="DD98" s="15">
        <v>0</v>
      </c>
      <c r="DE98" s="15">
        <v>0</v>
      </c>
      <c r="DF98" s="15">
        <v>5</v>
      </c>
      <c r="DG98" s="15">
        <v>2</v>
      </c>
      <c r="DH98" s="15">
        <v>4</v>
      </c>
      <c r="DI98" s="15">
        <v>4</v>
      </c>
      <c r="DJ98" s="15">
        <v>4</v>
      </c>
      <c r="DK98" s="15">
        <v>3</v>
      </c>
      <c r="DL98" s="15">
        <v>2</v>
      </c>
      <c r="DM98" s="15">
        <v>4</v>
      </c>
      <c r="DN98" s="15">
        <v>2</v>
      </c>
      <c r="DO98" s="15">
        <v>2</v>
      </c>
      <c r="DP98" s="15">
        <v>3</v>
      </c>
      <c r="DQ98" s="15">
        <v>4</v>
      </c>
      <c r="DR98" s="15">
        <v>4</v>
      </c>
      <c r="DS98" s="15">
        <v>4</v>
      </c>
      <c r="DT98" s="15">
        <v>4</v>
      </c>
      <c r="DU98" s="15">
        <v>3</v>
      </c>
      <c r="DV98" s="15">
        <v>3</v>
      </c>
      <c r="DW98" s="15">
        <v>4</v>
      </c>
      <c r="DX98" s="15">
        <v>2</v>
      </c>
      <c r="DY98" s="15">
        <v>4</v>
      </c>
      <c r="DZ98" s="15">
        <v>4</v>
      </c>
      <c r="EA98" s="15">
        <v>4</v>
      </c>
      <c r="EB98" s="15">
        <v>4</v>
      </c>
      <c r="EC98" s="15">
        <v>3</v>
      </c>
      <c r="ED98" s="15">
        <v>3</v>
      </c>
      <c r="EE98" s="15">
        <v>2</v>
      </c>
      <c r="EF98" s="15">
        <v>3</v>
      </c>
      <c r="EG98" s="15">
        <v>1</v>
      </c>
      <c r="EH98" s="15">
        <v>2</v>
      </c>
      <c r="EI98" s="15">
        <v>2</v>
      </c>
      <c r="EJ98" s="15">
        <v>4</v>
      </c>
      <c r="EK98" s="15">
        <v>3</v>
      </c>
      <c r="EL98" s="15">
        <v>2</v>
      </c>
      <c r="EM98" s="15">
        <v>4</v>
      </c>
      <c r="EN98" s="15">
        <v>4</v>
      </c>
      <c r="EO98" s="15">
        <v>3</v>
      </c>
      <c r="EP98" s="15">
        <v>2</v>
      </c>
      <c r="EQ98" s="15">
        <v>3</v>
      </c>
      <c r="ER98" s="15">
        <v>2</v>
      </c>
      <c r="ES98" s="15">
        <v>2</v>
      </c>
      <c r="ET98" s="15">
        <v>2</v>
      </c>
      <c r="EU98" s="15">
        <v>3</v>
      </c>
      <c r="EV98" s="15">
        <v>4</v>
      </c>
      <c r="EW98" s="15">
        <v>4</v>
      </c>
      <c r="EX98" s="15">
        <v>4</v>
      </c>
      <c r="EY98" s="15">
        <v>2</v>
      </c>
      <c r="EZ98" s="15">
        <v>4</v>
      </c>
      <c r="FA98" s="15">
        <v>3</v>
      </c>
      <c r="FB98" s="15">
        <v>3</v>
      </c>
      <c r="FC98" s="15">
        <v>3</v>
      </c>
      <c r="FD98" s="15">
        <v>2</v>
      </c>
      <c r="FE98" s="15">
        <v>2</v>
      </c>
      <c r="FF98" s="15">
        <v>2</v>
      </c>
      <c r="FG98" s="15">
        <v>4</v>
      </c>
      <c r="FH98" s="15">
        <v>4</v>
      </c>
      <c r="FI98" s="15">
        <v>3</v>
      </c>
      <c r="FJ98" s="15">
        <v>3</v>
      </c>
      <c r="FK98" s="15">
        <v>4</v>
      </c>
      <c r="FL98" s="15">
        <v>4</v>
      </c>
      <c r="FM98" s="15">
        <v>3</v>
      </c>
      <c r="FN98" s="15">
        <v>3</v>
      </c>
      <c r="FO98" s="15">
        <v>2</v>
      </c>
      <c r="FP98" s="15">
        <v>2</v>
      </c>
      <c r="FQ98" s="15">
        <v>4</v>
      </c>
      <c r="FR98" s="15">
        <v>4</v>
      </c>
      <c r="FS98" s="15">
        <v>4</v>
      </c>
      <c r="FT98" s="15">
        <v>3</v>
      </c>
      <c r="FU98" s="15">
        <v>3</v>
      </c>
      <c r="FV98" s="15">
        <v>4</v>
      </c>
      <c r="FW98" s="15">
        <v>2</v>
      </c>
      <c r="FX98" s="15">
        <v>3</v>
      </c>
      <c r="FY98" s="15">
        <v>3</v>
      </c>
      <c r="FZ98" s="15">
        <v>3</v>
      </c>
      <c r="GA98" s="15">
        <v>2</v>
      </c>
      <c r="GB98" s="15">
        <v>2</v>
      </c>
      <c r="GC98" s="15">
        <v>2</v>
      </c>
      <c r="GD98" s="15">
        <v>3</v>
      </c>
      <c r="GE98" s="15">
        <v>3</v>
      </c>
      <c r="GF98" s="15">
        <v>3</v>
      </c>
      <c r="GG98" s="15">
        <v>2</v>
      </c>
      <c r="GH98" s="15">
        <v>2</v>
      </c>
      <c r="GI98" s="15">
        <v>2</v>
      </c>
      <c r="GJ98" s="15">
        <v>2</v>
      </c>
      <c r="GK98" s="15">
        <v>2</v>
      </c>
      <c r="GL98" s="15">
        <v>4</v>
      </c>
      <c r="GM98" s="15">
        <v>2</v>
      </c>
      <c r="GN98" s="15">
        <v>2</v>
      </c>
      <c r="GO98" s="15">
        <v>4</v>
      </c>
      <c r="GP98" s="15">
        <v>1</v>
      </c>
      <c r="GQ98" s="15">
        <v>2</v>
      </c>
      <c r="GR98" s="15">
        <v>2</v>
      </c>
      <c r="GS98" s="15">
        <v>4</v>
      </c>
      <c r="GT98" s="15">
        <v>3</v>
      </c>
      <c r="GU98" s="15">
        <v>2</v>
      </c>
      <c r="GV98" s="15">
        <v>2</v>
      </c>
      <c r="GW98" s="15">
        <v>4</v>
      </c>
      <c r="GX98" s="15">
        <v>3</v>
      </c>
      <c r="GY98" s="15">
        <v>3</v>
      </c>
      <c r="GZ98" s="15">
        <v>3</v>
      </c>
      <c r="HA98" s="15">
        <v>2</v>
      </c>
      <c r="HB98" s="15">
        <v>2</v>
      </c>
      <c r="HC98" s="15">
        <v>4</v>
      </c>
      <c r="HD98" s="15">
        <v>3</v>
      </c>
      <c r="HE98" s="15">
        <v>2</v>
      </c>
      <c r="HF98" s="15">
        <v>2</v>
      </c>
      <c r="HG98" s="15">
        <v>2</v>
      </c>
      <c r="HH98" s="15">
        <v>2</v>
      </c>
      <c r="HI98" s="15">
        <v>4</v>
      </c>
      <c r="HJ98" s="15">
        <v>3</v>
      </c>
      <c r="HK98" s="15">
        <v>2</v>
      </c>
      <c r="HL98" s="15">
        <v>2</v>
      </c>
      <c r="HM98" s="15">
        <v>3</v>
      </c>
      <c r="HN98" s="15">
        <v>3</v>
      </c>
      <c r="HO98" s="15">
        <v>2</v>
      </c>
      <c r="HP98" s="15">
        <v>3</v>
      </c>
      <c r="HQ98" s="15">
        <v>3</v>
      </c>
      <c r="HR98" s="15">
        <v>4</v>
      </c>
      <c r="HS98" s="15">
        <v>4</v>
      </c>
      <c r="HT98" s="15">
        <v>3</v>
      </c>
      <c r="HU98" s="15">
        <v>3</v>
      </c>
      <c r="HV98" s="15">
        <v>2</v>
      </c>
      <c r="HW98" s="15">
        <v>4</v>
      </c>
      <c r="HX98" s="15">
        <v>3.25</v>
      </c>
      <c r="HY98" s="15">
        <v>4</v>
      </c>
      <c r="HZ98" s="15">
        <v>3.75</v>
      </c>
      <c r="IA98" s="15">
        <v>3.5</v>
      </c>
      <c r="IB98" s="15">
        <v>3.75</v>
      </c>
      <c r="IC98" s="15">
        <v>4</v>
      </c>
      <c r="ID98" s="15">
        <v>3.25</v>
      </c>
      <c r="IE98" s="15">
        <v>2.5</v>
      </c>
      <c r="IF98" s="15">
        <v>3</v>
      </c>
      <c r="IG98" s="15">
        <v>3.75</v>
      </c>
      <c r="IH98" s="15">
        <v>2.25</v>
      </c>
      <c r="II98" s="15">
        <v>3</v>
      </c>
      <c r="IJ98" s="15">
        <v>2.5</v>
      </c>
      <c r="IK98" s="15">
        <v>3.25</v>
      </c>
      <c r="IL98" s="15">
        <v>3</v>
      </c>
      <c r="IM98" s="15">
        <v>2.75</v>
      </c>
      <c r="IN98" s="15">
        <v>3.5</v>
      </c>
      <c r="IO98" s="15">
        <v>2.5</v>
      </c>
      <c r="IP98" s="15">
        <v>3.25</v>
      </c>
      <c r="IQ98" s="15">
        <v>4</v>
      </c>
      <c r="IR98" s="15">
        <v>3.25</v>
      </c>
      <c r="IS98" s="15">
        <v>4</v>
      </c>
      <c r="IT98" s="15">
        <v>3.25</v>
      </c>
      <c r="IU98" s="15">
        <v>4</v>
      </c>
      <c r="IV98" s="15">
        <v>4</v>
      </c>
      <c r="IW98" s="15">
        <v>4</v>
      </c>
      <c r="IX98" s="15">
        <v>3.75</v>
      </c>
      <c r="IY98" s="15">
        <v>2.5</v>
      </c>
      <c r="IZ98" s="15">
        <v>3.25</v>
      </c>
    </row>
    <row r="99" spans="1:260" s="12" customFormat="1" x14ac:dyDescent="0.3">
      <c r="A99" s="15">
        <v>103</v>
      </c>
      <c r="B99" s="15" t="s">
        <v>467</v>
      </c>
      <c r="C99" s="16">
        <v>35</v>
      </c>
      <c r="D99" s="15" t="s">
        <v>288</v>
      </c>
      <c r="E99" s="15" t="s">
        <v>289</v>
      </c>
      <c r="F99" s="15" t="s">
        <v>290</v>
      </c>
      <c r="G99" s="15" t="s">
        <v>268</v>
      </c>
      <c r="H99" s="15" t="s">
        <v>298</v>
      </c>
      <c r="I99" s="15" t="s">
        <v>270</v>
      </c>
      <c r="J99" s="15" t="s">
        <v>446</v>
      </c>
      <c r="K99" s="15" t="s">
        <v>272</v>
      </c>
      <c r="L99" s="15" t="s">
        <v>295</v>
      </c>
      <c r="M99" s="15" t="s">
        <v>365</v>
      </c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>
        <v>0</v>
      </c>
      <c r="AE99" s="15">
        <f>2/2</f>
        <v>1</v>
      </c>
      <c r="AF99" s="15">
        <f>41256.78/1000</f>
        <v>41.256779999999999</v>
      </c>
      <c r="AG99" s="15">
        <v>0</v>
      </c>
      <c r="AH99" s="15">
        <v>1</v>
      </c>
      <c r="AI99" s="15">
        <v>0</v>
      </c>
      <c r="AJ99" s="15">
        <f>5/5</f>
        <v>1</v>
      </c>
      <c r="AK99" s="15">
        <v>1</v>
      </c>
      <c r="AL99" s="15">
        <f>3/8</f>
        <v>0.375</v>
      </c>
      <c r="AM99" s="15">
        <f>45013.98/1000</f>
        <v>45.013980000000004</v>
      </c>
      <c r="AN99" s="15">
        <f>1.1+0.425</f>
        <v>1.5250000000000001</v>
      </c>
      <c r="AO99" s="15"/>
      <c r="AP99" s="15"/>
      <c r="AQ99" s="15"/>
      <c r="AR99" s="15"/>
      <c r="AS99" s="15">
        <v>0</v>
      </c>
      <c r="AT99" s="15"/>
      <c r="AU99" s="15"/>
      <c r="AV99" s="15"/>
      <c r="AW99" s="15"/>
      <c r="AX99" s="15"/>
      <c r="AY99" s="15"/>
      <c r="AZ99" s="15">
        <v>0</v>
      </c>
      <c r="BA99" s="15">
        <f t="shared" si="28"/>
        <v>1</v>
      </c>
      <c r="BB99" s="15">
        <f>7082.636/1000</f>
        <v>7.0826360000000008</v>
      </c>
      <c r="BC99" s="15">
        <v>0</v>
      </c>
      <c r="BD99" s="15">
        <v>0</v>
      </c>
      <c r="BE99" s="15"/>
      <c r="BF99" s="15"/>
      <c r="BG99" s="15">
        <v>1</v>
      </c>
      <c r="BH99" s="15"/>
      <c r="BI99" s="15"/>
      <c r="BJ99" s="15">
        <f>1.05</f>
        <v>1.05</v>
      </c>
      <c r="BK99" s="15">
        <v>0</v>
      </c>
      <c r="BL99" s="15">
        <f t="shared" si="33"/>
        <v>1</v>
      </c>
      <c r="BM99" s="15">
        <f>15254.3/1000</f>
        <v>15.254299999999999</v>
      </c>
      <c r="BN99" s="15">
        <v>0</v>
      </c>
      <c r="BO99" s="15"/>
      <c r="BP99" s="15"/>
      <c r="BQ99" s="15"/>
      <c r="BR99" s="15"/>
      <c r="BS99" s="15">
        <v>0</v>
      </c>
      <c r="BT99" s="15">
        <f t="shared" si="31"/>
        <v>1</v>
      </c>
      <c r="BU99" s="15">
        <f>10795.71/1000</f>
        <v>10.79571</v>
      </c>
      <c r="BV99" s="15">
        <v>0</v>
      </c>
      <c r="BW99" s="15">
        <v>0</v>
      </c>
      <c r="BX99" s="15"/>
      <c r="BY99" s="15"/>
      <c r="BZ99" s="15"/>
      <c r="CA99" s="15"/>
      <c r="CB99" s="15"/>
      <c r="CC99" s="15"/>
      <c r="CD99" s="15">
        <v>0</v>
      </c>
      <c r="CE99" s="15">
        <f t="shared" si="32"/>
        <v>1</v>
      </c>
      <c r="CF99" s="15">
        <f>14921.61/1000</f>
        <v>14.921610000000001</v>
      </c>
      <c r="CG99" s="15">
        <f>0.0425</f>
        <v>4.2500000000000003E-2</v>
      </c>
      <c r="CH99" s="15">
        <v>0</v>
      </c>
      <c r="CI99" s="15"/>
      <c r="CJ99" s="15"/>
      <c r="CK99" s="15">
        <f t="shared" si="22"/>
        <v>134.32501600000001</v>
      </c>
      <c r="CL99" s="15">
        <f>2/8</f>
        <v>0.25</v>
      </c>
      <c r="CM99" s="15">
        <v>0</v>
      </c>
      <c r="CN99" s="15">
        <v>1</v>
      </c>
      <c r="CO99" s="15">
        <f>Table1[[#This Row],[TotalTrapsRisked]]/5</f>
        <v>0.2</v>
      </c>
      <c r="CP99" s="15">
        <v>0</v>
      </c>
      <c r="CQ99" s="15">
        <v>0</v>
      </c>
      <c r="CR99" s="15">
        <v>0</v>
      </c>
      <c r="CS99" s="15">
        <v>0.25454545454545452</v>
      </c>
      <c r="CT99" s="15">
        <v>0</v>
      </c>
      <c r="CU99" s="15">
        <v>133</v>
      </c>
      <c r="CV99" s="15">
        <v>280</v>
      </c>
      <c r="CW99" s="15">
        <v>0</v>
      </c>
      <c r="CX99" s="15"/>
      <c r="CY99" s="15"/>
      <c r="CZ99" s="15"/>
      <c r="DA99" s="15"/>
      <c r="DB99" s="15"/>
      <c r="DC99" s="15"/>
      <c r="DD99" s="15">
        <v>0</v>
      </c>
      <c r="DE99" s="15">
        <v>0</v>
      </c>
      <c r="DF99" s="15">
        <v>5</v>
      </c>
      <c r="DG99" s="15">
        <v>4</v>
      </c>
      <c r="DH99" s="15">
        <v>3</v>
      </c>
      <c r="DI99" s="15">
        <v>4</v>
      </c>
      <c r="DJ99" s="15">
        <v>4</v>
      </c>
      <c r="DK99" s="15">
        <v>3</v>
      </c>
      <c r="DL99" s="15">
        <v>4</v>
      </c>
      <c r="DM99" s="15">
        <v>4</v>
      </c>
      <c r="DN99" s="15">
        <v>1</v>
      </c>
      <c r="DO99" s="15">
        <v>4</v>
      </c>
      <c r="DP99" s="15">
        <v>1</v>
      </c>
      <c r="DQ99" s="15">
        <v>4</v>
      </c>
      <c r="DR99" s="15">
        <v>4</v>
      </c>
      <c r="DS99" s="15">
        <v>5</v>
      </c>
      <c r="DT99" s="15">
        <v>5</v>
      </c>
      <c r="DU99" s="15">
        <v>2</v>
      </c>
      <c r="DV99" s="15">
        <v>4</v>
      </c>
      <c r="DW99" s="15">
        <v>5</v>
      </c>
      <c r="DX99" s="15">
        <v>1</v>
      </c>
      <c r="DY99" s="15">
        <v>4</v>
      </c>
      <c r="DZ99" s="15">
        <v>2</v>
      </c>
      <c r="EA99" s="15">
        <v>5</v>
      </c>
      <c r="EB99" s="15">
        <v>4</v>
      </c>
      <c r="EC99" s="15">
        <v>1</v>
      </c>
      <c r="ED99" s="15">
        <v>2</v>
      </c>
      <c r="EE99" s="15">
        <v>2</v>
      </c>
      <c r="EF99" s="15">
        <v>3</v>
      </c>
      <c r="EG99" s="15">
        <v>2</v>
      </c>
      <c r="EH99" s="15">
        <v>4</v>
      </c>
      <c r="EI99" s="15">
        <v>2</v>
      </c>
      <c r="EJ99" s="15">
        <v>3</v>
      </c>
      <c r="EK99" s="15">
        <v>5</v>
      </c>
      <c r="EL99" s="15">
        <v>1</v>
      </c>
      <c r="EM99" s="15">
        <v>4</v>
      </c>
      <c r="EN99" s="15">
        <v>2</v>
      </c>
      <c r="EO99" s="15">
        <v>2</v>
      </c>
      <c r="EP99" s="15">
        <v>4</v>
      </c>
      <c r="EQ99" s="15">
        <v>3</v>
      </c>
      <c r="ER99" s="15">
        <v>1</v>
      </c>
      <c r="ES99" s="15">
        <v>2</v>
      </c>
      <c r="ET99" s="15">
        <v>1</v>
      </c>
      <c r="EU99" s="15">
        <v>1</v>
      </c>
      <c r="EV99" s="15">
        <v>3</v>
      </c>
      <c r="EW99" s="15">
        <v>5</v>
      </c>
      <c r="EX99" s="15">
        <v>5</v>
      </c>
      <c r="EY99" s="15">
        <v>4</v>
      </c>
      <c r="EZ99" s="15">
        <v>3</v>
      </c>
      <c r="FA99" s="15">
        <v>4</v>
      </c>
      <c r="FB99" s="15">
        <v>1</v>
      </c>
      <c r="FC99" s="15">
        <v>2</v>
      </c>
      <c r="FD99" s="15">
        <v>3</v>
      </c>
      <c r="FE99" s="15">
        <v>3</v>
      </c>
      <c r="FF99" s="15">
        <v>5</v>
      </c>
      <c r="FG99" s="15">
        <v>2</v>
      </c>
      <c r="FH99" s="15">
        <v>4</v>
      </c>
      <c r="FI99" s="15">
        <v>2</v>
      </c>
      <c r="FJ99" s="15">
        <v>4</v>
      </c>
      <c r="FK99" s="15">
        <v>5</v>
      </c>
      <c r="FL99" s="15">
        <v>5</v>
      </c>
      <c r="FM99" s="15">
        <v>3</v>
      </c>
      <c r="FN99" s="15">
        <v>4</v>
      </c>
      <c r="FO99" s="15">
        <v>1</v>
      </c>
      <c r="FP99" s="15">
        <v>3</v>
      </c>
      <c r="FQ99" s="15">
        <v>4</v>
      </c>
      <c r="FR99" s="15">
        <v>4</v>
      </c>
      <c r="FS99" s="15">
        <v>2</v>
      </c>
      <c r="FT99" s="15">
        <v>2</v>
      </c>
      <c r="FU99" s="15">
        <v>3</v>
      </c>
      <c r="FV99" s="15">
        <v>4</v>
      </c>
      <c r="FW99" s="15">
        <v>1</v>
      </c>
      <c r="FX99" s="15">
        <v>2</v>
      </c>
      <c r="FY99" s="15">
        <v>1</v>
      </c>
      <c r="FZ99" s="15">
        <v>3</v>
      </c>
      <c r="GA99" s="15">
        <v>2</v>
      </c>
      <c r="GB99" s="15">
        <v>1</v>
      </c>
      <c r="GC99" s="15">
        <v>2</v>
      </c>
      <c r="GD99" s="15">
        <v>3</v>
      </c>
      <c r="GE99" s="15">
        <v>3</v>
      </c>
      <c r="GF99" s="15">
        <v>4</v>
      </c>
      <c r="GG99" s="15">
        <v>1</v>
      </c>
      <c r="GH99" s="15">
        <v>1</v>
      </c>
      <c r="GI99" s="15">
        <v>3</v>
      </c>
      <c r="GJ99" s="15">
        <v>1</v>
      </c>
      <c r="GK99" s="15">
        <v>3</v>
      </c>
      <c r="GL99" s="15">
        <v>1</v>
      </c>
      <c r="GM99" s="15">
        <v>2</v>
      </c>
      <c r="GN99" s="15">
        <v>1</v>
      </c>
      <c r="GO99" s="15">
        <v>5</v>
      </c>
      <c r="GP99" s="15">
        <v>2</v>
      </c>
      <c r="GQ99" s="15">
        <v>1</v>
      </c>
      <c r="GR99" s="15">
        <v>2</v>
      </c>
      <c r="GS99" s="15">
        <v>2</v>
      </c>
      <c r="GT99" s="15">
        <v>1</v>
      </c>
      <c r="GU99" s="15">
        <v>4</v>
      </c>
      <c r="GV99" s="15">
        <v>2</v>
      </c>
      <c r="GW99" s="15">
        <v>3</v>
      </c>
      <c r="GX99" s="15">
        <v>4</v>
      </c>
      <c r="GY99" s="15">
        <v>2</v>
      </c>
      <c r="GZ99" s="15">
        <v>2</v>
      </c>
      <c r="HA99" s="15">
        <v>1</v>
      </c>
      <c r="HB99" s="15">
        <v>3</v>
      </c>
      <c r="HC99" s="15">
        <v>4</v>
      </c>
      <c r="HD99" s="15">
        <v>3</v>
      </c>
      <c r="HE99" s="15">
        <v>1</v>
      </c>
      <c r="HF99" s="15">
        <v>1</v>
      </c>
      <c r="HG99" s="15">
        <v>1</v>
      </c>
      <c r="HH99" s="15">
        <v>1</v>
      </c>
      <c r="HI99" s="15">
        <v>4</v>
      </c>
      <c r="HJ99" s="15">
        <v>3</v>
      </c>
      <c r="HK99" s="15">
        <v>1</v>
      </c>
      <c r="HL99" s="15">
        <v>1</v>
      </c>
      <c r="HM99" s="15">
        <v>4</v>
      </c>
      <c r="HN99" s="15">
        <v>1</v>
      </c>
      <c r="HO99" s="15">
        <v>2</v>
      </c>
      <c r="HP99" s="15">
        <v>2</v>
      </c>
      <c r="HQ99" s="15">
        <v>2</v>
      </c>
      <c r="HR99" s="15">
        <v>4</v>
      </c>
      <c r="HS99" s="15">
        <v>4</v>
      </c>
      <c r="HT99" s="15">
        <v>4</v>
      </c>
      <c r="HU99" s="15">
        <v>2</v>
      </c>
      <c r="HV99" s="15">
        <v>2</v>
      </c>
      <c r="HW99" s="15">
        <v>3.25</v>
      </c>
      <c r="HX99" s="15">
        <v>3.75</v>
      </c>
      <c r="HY99" s="15">
        <v>4.75</v>
      </c>
      <c r="HZ99" s="15">
        <v>4</v>
      </c>
      <c r="IA99" s="15">
        <v>3.5</v>
      </c>
      <c r="IB99" s="15">
        <v>3.75</v>
      </c>
      <c r="IC99" s="15">
        <v>3.5</v>
      </c>
      <c r="ID99" s="15">
        <v>2.25</v>
      </c>
      <c r="IE99" s="15">
        <v>1.25</v>
      </c>
      <c r="IF99" s="15">
        <v>3.5</v>
      </c>
      <c r="IG99" s="15">
        <v>2.5</v>
      </c>
      <c r="IH99" s="15">
        <v>1.75</v>
      </c>
      <c r="II99" s="15">
        <v>4.75</v>
      </c>
      <c r="IJ99" s="15">
        <v>4</v>
      </c>
      <c r="IK99" s="15">
        <v>2.75</v>
      </c>
      <c r="IL99" s="15">
        <v>3</v>
      </c>
      <c r="IM99" s="15">
        <v>2.5</v>
      </c>
      <c r="IN99" s="15">
        <v>4</v>
      </c>
      <c r="IO99" s="15">
        <v>2.75</v>
      </c>
      <c r="IP99" s="15">
        <v>3.5</v>
      </c>
      <c r="IQ99" s="15">
        <v>4</v>
      </c>
      <c r="IR99" s="15">
        <v>3</v>
      </c>
      <c r="IS99" s="15">
        <v>3</v>
      </c>
      <c r="IT99" s="15">
        <v>3.25</v>
      </c>
      <c r="IU99" s="15">
        <v>4</v>
      </c>
      <c r="IV99" s="15">
        <v>5</v>
      </c>
      <c r="IW99" s="15">
        <v>5</v>
      </c>
      <c r="IX99" s="15">
        <v>5</v>
      </c>
      <c r="IY99" s="15">
        <v>4.5</v>
      </c>
      <c r="IZ99" s="15">
        <v>4.5</v>
      </c>
    </row>
    <row r="100" spans="1:260" s="12" customFormat="1" x14ac:dyDescent="0.3">
      <c r="A100" s="15">
        <v>104</v>
      </c>
      <c r="B100" s="15" t="s">
        <v>469</v>
      </c>
      <c r="C100" s="16">
        <v>27</v>
      </c>
      <c r="D100" s="15" t="s">
        <v>288</v>
      </c>
      <c r="E100" s="15" t="s">
        <v>259</v>
      </c>
      <c r="F100" s="15" t="s">
        <v>260</v>
      </c>
      <c r="G100" s="15" t="s">
        <v>268</v>
      </c>
      <c r="H100" s="15" t="s">
        <v>340</v>
      </c>
      <c r="I100" s="15" t="s">
        <v>270</v>
      </c>
      <c r="J100" s="15" t="s">
        <v>447</v>
      </c>
      <c r="K100" s="15" t="s">
        <v>277</v>
      </c>
      <c r="L100" s="15" t="s">
        <v>281</v>
      </c>
      <c r="M100" s="15" t="s">
        <v>411</v>
      </c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>
        <v>1</v>
      </c>
      <c r="AA100" s="15">
        <f>1/5</f>
        <v>0.2</v>
      </c>
      <c r="AB100" s="15"/>
      <c r="AC100" s="15">
        <f>1.05</f>
        <v>1.05</v>
      </c>
      <c r="AD100" s="15">
        <v>0</v>
      </c>
      <c r="AE100" s="15">
        <f>2/2</f>
        <v>1</v>
      </c>
      <c r="AF100" s="15">
        <f>6670.894/1000</f>
        <v>6.6708940000000005</v>
      </c>
      <c r="AG100" s="15">
        <v>0</v>
      </c>
      <c r="AH100" s="15">
        <v>0</v>
      </c>
      <c r="AI100" s="15"/>
      <c r="AJ100" s="15"/>
      <c r="AK100" s="15">
        <v>0</v>
      </c>
      <c r="AL100" s="15">
        <f>3/8</f>
        <v>0.375</v>
      </c>
      <c r="AM100" s="15">
        <f>32357.28/1000</f>
        <v>32.357279999999996</v>
      </c>
      <c r="AN100" s="15">
        <f>0.235</f>
        <v>0.23499999999999999</v>
      </c>
      <c r="AO100" s="15"/>
      <c r="AP100" s="15"/>
      <c r="AQ100" s="15"/>
      <c r="AR100" s="15"/>
      <c r="AS100" s="15">
        <v>0</v>
      </c>
      <c r="AT100" s="15"/>
      <c r="AU100" s="15"/>
      <c r="AV100" s="15"/>
      <c r="AW100" s="15"/>
      <c r="AX100" s="15"/>
      <c r="AY100" s="15"/>
      <c r="AZ100" s="15">
        <v>0</v>
      </c>
      <c r="BA100" s="15">
        <f t="shared" si="28"/>
        <v>1</v>
      </c>
      <c r="BB100" s="15">
        <f>6633.848/1000</f>
        <v>6.6338479999999995</v>
      </c>
      <c r="BC100" s="15">
        <v>0</v>
      </c>
      <c r="BD100" s="15">
        <v>0</v>
      </c>
      <c r="BE100" s="15"/>
      <c r="BF100" s="15"/>
      <c r="BG100" s="15"/>
      <c r="BH100" s="15"/>
      <c r="BI100" s="15"/>
      <c r="BJ100" s="15"/>
      <c r="BK100" s="15">
        <v>0</v>
      </c>
      <c r="BL100" s="15">
        <f t="shared" si="33"/>
        <v>1</v>
      </c>
      <c r="BM100" s="15">
        <f>10473.65/1000</f>
        <v>10.473649999999999</v>
      </c>
      <c r="BN100" s="15">
        <v>0</v>
      </c>
      <c r="BO100" s="15"/>
      <c r="BP100" s="15"/>
      <c r="BQ100" s="15"/>
      <c r="BR100" s="15"/>
      <c r="BS100" s="15">
        <v>0</v>
      </c>
      <c r="BT100" s="15">
        <f t="shared" si="31"/>
        <v>1</v>
      </c>
      <c r="BU100" s="15">
        <f>11338.79/1000</f>
        <v>11.338790000000001</v>
      </c>
      <c r="BV100" s="15">
        <v>0</v>
      </c>
      <c r="BW100" s="15">
        <v>0</v>
      </c>
      <c r="BX100" s="15"/>
      <c r="BY100" s="15"/>
      <c r="BZ100" s="15"/>
      <c r="CA100" s="15"/>
      <c r="CB100" s="15"/>
      <c r="CC100" s="15"/>
      <c r="CD100" s="15">
        <v>0</v>
      </c>
      <c r="CE100" s="15">
        <f t="shared" si="32"/>
        <v>1</v>
      </c>
      <c r="CF100" s="15">
        <f>17946.39/1000</f>
        <v>17.946390000000001</v>
      </c>
      <c r="CG100" s="15">
        <f>0.0425</f>
        <v>4.2500000000000003E-2</v>
      </c>
      <c r="CH100" s="15">
        <v>0</v>
      </c>
      <c r="CI100" s="15"/>
      <c r="CJ100" s="15"/>
      <c r="CK100" s="15">
        <f t="shared" si="22"/>
        <v>85.420851999999996</v>
      </c>
      <c r="CL100" s="15">
        <f>2/8</f>
        <v>0.25</v>
      </c>
      <c r="CM100" s="15">
        <v>0</v>
      </c>
      <c r="CN100" s="15">
        <v>0</v>
      </c>
      <c r="CO100" s="15">
        <f>Table1[[#This Row],[TotalTrapsRisked]]/5</f>
        <v>0</v>
      </c>
      <c r="CP100" s="15">
        <v>0</v>
      </c>
      <c r="CQ100" s="15">
        <v>0</v>
      </c>
      <c r="CR100" s="15">
        <v>8.3333333333333329E-2</v>
      </c>
      <c r="CS100" s="15">
        <v>0.23636363636363636</v>
      </c>
      <c r="CT100" s="15">
        <v>0</v>
      </c>
      <c r="CU100" s="15">
        <v>148</v>
      </c>
      <c r="CV100" s="15">
        <v>260</v>
      </c>
      <c r="CW100" s="15">
        <v>0</v>
      </c>
      <c r="CX100" s="15"/>
      <c r="CY100" s="15"/>
      <c r="CZ100" s="15"/>
      <c r="DA100" s="15"/>
      <c r="DB100" s="15"/>
      <c r="DC100" s="15"/>
      <c r="DD100" s="15">
        <v>0</v>
      </c>
      <c r="DE100" s="15">
        <v>0</v>
      </c>
      <c r="DF100" s="15">
        <v>5</v>
      </c>
      <c r="DG100" s="15">
        <v>2</v>
      </c>
      <c r="DH100" s="15">
        <v>4</v>
      </c>
      <c r="DI100" s="15">
        <v>4</v>
      </c>
      <c r="DJ100" s="15">
        <v>5</v>
      </c>
      <c r="DK100" s="15">
        <v>2</v>
      </c>
      <c r="DL100" s="15">
        <v>2</v>
      </c>
      <c r="DM100" s="15">
        <v>4</v>
      </c>
      <c r="DN100" s="15">
        <v>1</v>
      </c>
      <c r="DO100" s="15">
        <v>4</v>
      </c>
      <c r="DP100" s="15">
        <v>2</v>
      </c>
      <c r="DQ100" s="15">
        <v>5</v>
      </c>
      <c r="DR100" s="15">
        <v>5</v>
      </c>
      <c r="DS100" s="15">
        <v>5</v>
      </c>
      <c r="DT100" s="15">
        <v>5</v>
      </c>
      <c r="DU100" s="15">
        <v>4</v>
      </c>
      <c r="DV100" s="15">
        <v>5</v>
      </c>
      <c r="DW100" s="15">
        <v>4</v>
      </c>
      <c r="DX100" s="15">
        <v>2</v>
      </c>
      <c r="DY100" s="15">
        <v>5</v>
      </c>
      <c r="DZ100" s="15">
        <v>1</v>
      </c>
      <c r="EA100" s="15">
        <v>5</v>
      </c>
      <c r="EB100" s="15">
        <v>3</v>
      </c>
      <c r="EC100" s="15">
        <v>4</v>
      </c>
      <c r="ED100" s="15">
        <v>4</v>
      </c>
      <c r="EE100" s="15">
        <v>4</v>
      </c>
      <c r="EF100" s="15">
        <v>3</v>
      </c>
      <c r="EG100" s="15">
        <v>3</v>
      </c>
      <c r="EH100" s="15">
        <v>3</v>
      </c>
      <c r="EI100" s="15">
        <v>1</v>
      </c>
      <c r="EJ100" s="15">
        <v>5</v>
      </c>
      <c r="EK100" s="15">
        <v>4</v>
      </c>
      <c r="EL100" s="15">
        <v>2</v>
      </c>
      <c r="EM100" s="15">
        <v>4</v>
      </c>
      <c r="EN100" s="15">
        <v>5</v>
      </c>
      <c r="EO100" s="15">
        <v>2</v>
      </c>
      <c r="EP100" s="15">
        <v>1</v>
      </c>
      <c r="EQ100" s="15">
        <v>5</v>
      </c>
      <c r="ER100" s="15">
        <v>1</v>
      </c>
      <c r="ES100" s="15">
        <v>1</v>
      </c>
      <c r="ET100" s="15">
        <v>1</v>
      </c>
      <c r="EU100" s="15">
        <v>4</v>
      </c>
      <c r="EV100" s="15">
        <v>5</v>
      </c>
      <c r="EW100" s="15">
        <v>5</v>
      </c>
      <c r="EX100" s="15">
        <v>5</v>
      </c>
      <c r="EY100" s="15">
        <v>5</v>
      </c>
      <c r="EZ100" s="15">
        <v>5</v>
      </c>
      <c r="FA100" s="15">
        <v>5</v>
      </c>
      <c r="FB100" s="15">
        <v>1</v>
      </c>
      <c r="FC100" s="15">
        <v>5</v>
      </c>
      <c r="FD100" s="15">
        <v>4</v>
      </c>
      <c r="FE100" s="15">
        <v>2</v>
      </c>
      <c r="FF100" s="15">
        <v>2</v>
      </c>
      <c r="FG100" s="15">
        <v>5</v>
      </c>
      <c r="FH100" s="15">
        <v>5</v>
      </c>
      <c r="FI100" s="15">
        <v>2</v>
      </c>
      <c r="FJ100" s="15">
        <v>3</v>
      </c>
      <c r="FK100" s="15">
        <v>5</v>
      </c>
      <c r="FL100" s="15">
        <v>5</v>
      </c>
      <c r="FM100" s="15">
        <v>1</v>
      </c>
      <c r="FN100" s="15">
        <v>5</v>
      </c>
      <c r="FO100" s="15">
        <v>5</v>
      </c>
      <c r="FP100" s="15">
        <v>5</v>
      </c>
      <c r="FQ100" s="15">
        <v>4</v>
      </c>
      <c r="FR100" s="15">
        <v>4</v>
      </c>
      <c r="FS100" s="15">
        <v>2</v>
      </c>
      <c r="FT100" s="15">
        <v>2</v>
      </c>
      <c r="FU100" s="15">
        <v>4</v>
      </c>
      <c r="FV100" s="15">
        <v>4</v>
      </c>
      <c r="FW100" s="15">
        <v>1</v>
      </c>
      <c r="FX100" s="15">
        <v>4</v>
      </c>
      <c r="FY100" s="15">
        <v>4</v>
      </c>
      <c r="FZ100" s="15">
        <v>4</v>
      </c>
      <c r="GA100" s="15">
        <v>2</v>
      </c>
      <c r="GB100" s="15">
        <v>2</v>
      </c>
      <c r="GC100" s="15">
        <v>1</v>
      </c>
      <c r="GD100" s="15">
        <v>4</v>
      </c>
      <c r="GE100" s="15">
        <v>2</v>
      </c>
      <c r="GF100" s="15">
        <v>4</v>
      </c>
      <c r="GG100" s="15">
        <v>1</v>
      </c>
      <c r="GH100" s="15">
        <v>1</v>
      </c>
      <c r="GI100" s="15">
        <v>2</v>
      </c>
      <c r="GJ100" s="15">
        <v>1</v>
      </c>
      <c r="GK100" s="15">
        <v>2</v>
      </c>
      <c r="GL100" s="15">
        <v>5</v>
      </c>
      <c r="GM100" s="15">
        <v>2</v>
      </c>
      <c r="GN100" s="15">
        <v>2</v>
      </c>
      <c r="GO100" s="15">
        <v>3</v>
      </c>
      <c r="GP100" s="15">
        <v>2</v>
      </c>
      <c r="GQ100" s="15">
        <v>2</v>
      </c>
      <c r="GR100" s="15">
        <v>2</v>
      </c>
      <c r="GS100" s="15">
        <v>2</v>
      </c>
      <c r="GT100" s="15">
        <v>4</v>
      </c>
      <c r="GU100" s="15">
        <v>4</v>
      </c>
      <c r="GV100" s="15">
        <v>2</v>
      </c>
      <c r="GW100" s="15">
        <v>4</v>
      </c>
      <c r="GX100" s="15">
        <v>2</v>
      </c>
      <c r="GY100" s="15">
        <v>4</v>
      </c>
      <c r="GZ100" s="15">
        <v>2</v>
      </c>
      <c r="HA100" s="15">
        <v>1</v>
      </c>
      <c r="HB100" s="15">
        <v>1</v>
      </c>
      <c r="HC100" s="15">
        <v>5</v>
      </c>
      <c r="HD100" s="15">
        <v>2</v>
      </c>
      <c r="HE100" s="15">
        <v>1</v>
      </c>
      <c r="HF100" s="15">
        <v>1</v>
      </c>
      <c r="HG100" s="15">
        <v>1</v>
      </c>
      <c r="HH100" s="15">
        <v>2</v>
      </c>
      <c r="HI100" s="15">
        <v>2</v>
      </c>
      <c r="HJ100" s="15">
        <v>3</v>
      </c>
      <c r="HK100" s="15">
        <v>1</v>
      </c>
      <c r="HL100" s="15">
        <v>1</v>
      </c>
      <c r="HM100" s="15">
        <v>2</v>
      </c>
      <c r="HN100" s="15">
        <v>1</v>
      </c>
      <c r="HO100" s="15">
        <v>2</v>
      </c>
      <c r="HP100" s="15">
        <v>2</v>
      </c>
      <c r="HQ100" s="15">
        <v>2</v>
      </c>
      <c r="HR100" s="15">
        <v>4</v>
      </c>
      <c r="HS100" s="15">
        <v>5</v>
      </c>
      <c r="HT100" s="15">
        <v>4</v>
      </c>
      <c r="HU100" s="15">
        <v>4</v>
      </c>
      <c r="HV100" s="15">
        <v>1</v>
      </c>
      <c r="HW100" s="15">
        <v>4.5</v>
      </c>
      <c r="HX100" s="15">
        <v>4</v>
      </c>
      <c r="HY100" s="15">
        <v>5</v>
      </c>
      <c r="HZ100" s="15">
        <v>5</v>
      </c>
      <c r="IA100" s="15">
        <v>4.25</v>
      </c>
      <c r="IB100" s="15">
        <v>4.75</v>
      </c>
      <c r="IC100" s="15">
        <v>4.25</v>
      </c>
      <c r="ID100" s="15">
        <v>2.5</v>
      </c>
      <c r="IE100" s="15">
        <v>2</v>
      </c>
      <c r="IF100" s="15">
        <v>4.25</v>
      </c>
      <c r="IG100" s="15">
        <v>2.75</v>
      </c>
      <c r="IH100" s="15">
        <v>2.5</v>
      </c>
      <c r="II100" s="15">
        <v>2.25</v>
      </c>
      <c r="IJ100" s="15">
        <v>2.25</v>
      </c>
      <c r="IK100" s="15">
        <v>4.25</v>
      </c>
      <c r="IL100" s="15">
        <v>4</v>
      </c>
      <c r="IM100" s="15">
        <v>2.25</v>
      </c>
      <c r="IN100" s="15">
        <v>3.5</v>
      </c>
      <c r="IO100" s="15">
        <v>3.75</v>
      </c>
      <c r="IP100" s="15">
        <v>3.75</v>
      </c>
      <c r="IQ100" s="15">
        <v>4.75</v>
      </c>
      <c r="IR100" s="15">
        <v>2.5</v>
      </c>
      <c r="IS100" s="15">
        <v>3.75</v>
      </c>
      <c r="IT100" s="15">
        <v>3.5</v>
      </c>
      <c r="IU100" s="15">
        <v>4</v>
      </c>
      <c r="IV100" s="15">
        <v>5</v>
      </c>
      <c r="IW100" s="15">
        <v>4.75</v>
      </c>
      <c r="IX100" s="15">
        <v>4.75</v>
      </c>
      <c r="IY100" s="15">
        <v>2</v>
      </c>
      <c r="IZ100" s="15">
        <v>3.5</v>
      </c>
    </row>
    <row r="101" spans="1:260" s="12" customFormat="1" x14ac:dyDescent="0.3">
      <c r="A101" s="15">
        <v>105</v>
      </c>
      <c r="B101" s="15" t="s">
        <v>469</v>
      </c>
      <c r="C101" s="15">
        <v>18</v>
      </c>
      <c r="D101" s="15" t="s">
        <v>258</v>
      </c>
      <c r="E101" s="15" t="s">
        <v>470</v>
      </c>
      <c r="F101" s="15" t="s">
        <v>260</v>
      </c>
      <c r="G101" s="15" t="s">
        <v>471</v>
      </c>
      <c r="H101" s="15" t="s">
        <v>269</v>
      </c>
      <c r="I101" s="15" t="s">
        <v>280</v>
      </c>
      <c r="J101" s="15" t="s">
        <v>280</v>
      </c>
      <c r="K101" s="15" t="s">
        <v>272</v>
      </c>
      <c r="L101" s="15" t="s">
        <v>472</v>
      </c>
      <c r="M101" s="15" t="s">
        <v>473</v>
      </c>
      <c r="N101" s="15"/>
      <c r="O101" s="15"/>
      <c r="P101" s="15"/>
      <c r="Q101" s="15"/>
      <c r="R101" s="15">
        <f>1/1</f>
        <v>1</v>
      </c>
      <c r="S101" s="15">
        <v>0</v>
      </c>
      <c r="T101" s="15">
        <f>2603.664/1000</f>
        <v>2.6036640000000002</v>
      </c>
      <c r="U101" s="15">
        <v>0</v>
      </c>
      <c r="V101" s="15">
        <v>0</v>
      </c>
      <c r="W101" s="15">
        <f>0/8</f>
        <v>0</v>
      </c>
      <c r="X101" s="15">
        <f>12913.02/1000</f>
        <v>12.913020000000001</v>
      </c>
      <c r="Y101" s="15">
        <v>0</v>
      </c>
      <c r="Z101" s="15"/>
      <c r="AA101" s="15"/>
      <c r="AB101" s="15"/>
      <c r="AC101" s="15"/>
      <c r="AD101" s="15">
        <v>0</v>
      </c>
      <c r="AE101" s="15">
        <f>2/2</f>
        <v>1</v>
      </c>
      <c r="AF101" s="15">
        <f>54102.64/1000</f>
        <v>54.102640000000001</v>
      </c>
      <c r="AG101" s="15">
        <v>0</v>
      </c>
      <c r="AH101" s="15">
        <v>0</v>
      </c>
      <c r="AI101" s="15"/>
      <c r="AJ101" s="15"/>
      <c r="AK101" s="15">
        <v>26</v>
      </c>
      <c r="AL101" s="15">
        <f>8/8</f>
        <v>1</v>
      </c>
      <c r="AM101" s="15">
        <f>30017.19/1000</f>
        <v>30.017189999999999</v>
      </c>
      <c r="AN101" s="15">
        <f>1.1*22+1+0.5+1.05+1.35</f>
        <v>28.100000000000005</v>
      </c>
      <c r="AO101" s="15">
        <v>0</v>
      </c>
      <c r="AP101" s="15">
        <f>3/3</f>
        <v>1</v>
      </c>
      <c r="AQ101" s="15">
        <f>5772.612/1000</f>
        <v>5.7726120000000005</v>
      </c>
      <c r="AR101" s="15">
        <f>0.1275</f>
        <v>0.1275</v>
      </c>
      <c r="AS101" s="15">
        <v>1</v>
      </c>
      <c r="AT101" s="15">
        <v>1</v>
      </c>
      <c r="AU101" s="15">
        <v>0</v>
      </c>
      <c r="AV101" s="15">
        <v>0</v>
      </c>
      <c r="AW101" s="15">
        <f>4/4</f>
        <v>1</v>
      </c>
      <c r="AX101" s="15">
        <v>16.54982</v>
      </c>
      <c r="AY101" s="15">
        <v>0.6825</v>
      </c>
      <c r="AZ101" s="15"/>
      <c r="BA101" s="15"/>
      <c r="BB101" s="15"/>
      <c r="BC101" s="15"/>
      <c r="BD101" s="15">
        <v>1</v>
      </c>
      <c r="BE101" s="15">
        <v>1</v>
      </c>
      <c r="BF101" s="15">
        <v>0</v>
      </c>
      <c r="BG101" s="15">
        <v>4</v>
      </c>
      <c r="BH101" s="15">
        <f>5/5</f>
        <v>1</v>
      </c>
      <c r="BI101" s="15">
        <f>69182.14/1000</f>
        <v>69.182140000000004</v>
      </c>
      <c r="BJ101" s="15">
        <v>0</v>
      </c>
      <c r="BK101" s="15"/>
      <c r="BL101" s="15"/>
      <c r="BM101" s="15"/>
      <c r="BN101" s="15"/>
      <c r="BO101" s="15"/>
      <c r="BP101" s="15"/>
      <c r="BQ101" s="15"/>
      <c r="BR101" s="15"/>
      <c r="BS101" s="15">
        <v>0</v>
      </c>
      <c r="BT101" s="15">
        <f t="shared" si="31"/>
        <v>1</v>
      </c>
      <c r="BU101" s="15">
        <f>28632.84/1000</f>
        <v>28.632840000000002</v>
      </c>
      <c r="BV101" s="15">
        <v>0</v>
      </c>
      <c r="BW101" s="15">
        <v>0</v>
      </c>
      <c r="BX101" s="15">
        <v>0</v>
      </c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>
        <f t="shared" si="22"/>
        <v>219.77392600000002</v>
      </c>
      <c r="CL101" s="15">
        <f>4/8</f>
        <v>0.5</v>
      </c>
      <c r="CM101" s="15">
        <v>2</v>
      </c>
      <c r="CN101" s="15">
        <v>2</v>
      </c>
      <c r="CO101" s="15">
        <f>Table1[[#This Row],[TotalTrapsRisked]]/5</f>
        <v>0.4</v>
      </c>
      <c r="CP101" s="15">
        <v>0</v>
      </c>
      <c r="CQ101" s="15">
        <v>1</v>
      </c>
      <c r="CR101" s="15">
        <v>6.25E-2</v>
      </c>
      <c r="CS101" s="15">
        <v>0.15454545454545454</v>
      </c>
      <c r="CT101" s="15">
        <v>0</v>
      </c>
      <c r="CU101" s="15">
        <v>114</v>
      </c>
      <c r="CV101" s="15">
        <v>170</v>
      </c>
      <c r="CW101" s="15">
        <v>0</v>
      </c>
      <c r="CX101" s="15"/>
      <c r="CY101" s="15"/>
      <c r="CZ101" s="15"/>
      <c r="DA101" s="15"/>
      <c r="DB101" s="15"/>
      <c r="DC101" s="15"/>
      <c r="DD101" s="15">
        <v>0</v>
      </c>
      <c r="DE101" s="15">
        <v>0</v>
      </c>
      <c r="DF101" s="15">
        <v>4</v>
      </c>
      <c r="DG101" s="15">
        <v>4</v>
      </c>
      <c r="DH101" s="15">
        <v>3</v>
      </c>
      <c r="DI101" s="15">
        <v>4</v>
      </c>
      <c r="DJ101" s="15">
        <v>5</v>
      </c>
      <c r="DK101" s="15">
        <v>3</v>
      </c>
      <c r="DL101" s="15">
        <v>1</v>
      </c>
      <c r="DM101" s="15">
        <v>3</v>
      </c>
      <c r="DN101" s="15">
        <v>1</v>
      </c>
      <c r="DO101" s="15">
        <v>2</v>
      </c>
      <c r="DP101" s="15">
        <v>3</v>
      </c>
      <c r="DQ101" s="15">
        <v>4</v>
      </c>
      <c r="DR101" s="15">
        <v>3</v>
      </c>
      <c r="DS101" s="15">
        <v>5</v>
      </c>
      <c r="DT101" s="15">
        <v>4</v>
      </c>
      <c r="DU101" s="15">
        <v>3</v>
      </c>
      <c r="DV101" s="15">
        <v>4</v>
      </c>
      <c r="DW101" s="15">
        <v>3</v>
      </c>
      <c r="DX101" s="15">
        <v>2</v>
      </c>
      <c r="DY101" s="15">
        <v>4</v>
      </c>
      <c r="DZ101" s="15">
        <v>2</v>
      </c>
      <c r="EA101" s="15">
        <v>4</v>
      </c>
      <c r="EB101" s="15">
        <v>3</v>
      </c>
      <c r="EC101" s="15">
        <v>1</v>
      </c>
      <c r="ED101" s="15">
        <v>3</v>
      </c>
      <c r="EE101" s="15">
        <v>3</v>
      </c>
      <c r="EF101" s="15">
        <v>4</v>
      </c>
      <c r="EG101" s="15">
        <v>3</v>
      </c>
      <c r="EH101" s="15">
        <v>4</v>
      </c>
      <c r="EI101" s="15">
        <v>2</v>
      </c>
      <c r="EJ101" s="15">
        <v>4</v>
      </c>
      <c r="EK101" s="15">
        <v>3</v>
      </c>
      <c r="EL101" s="15">
        <v>1</v>
      </c>
      <c r="EM101" s="15">
        <v>4</v>
      </c>
      <c r="EN101" s="15">
        <v>3</v>
      </c>
      <c r="EO101" s="15">
        <v>4</v>
      </c>
      <c r="EP101" s="15">
        <v>1</v>
      </c>
      <c r="EQ101" s="15">
        <v>4</v>
      </c>
      <c r="ER101" s="15">
        <v>1</v>
      </c>
      <c r="ES101" s="15">
        <v>3</v>
      </c>
      <c r="ET101" s="15">
        <v>4</v>
      </c>
      <c r="EU101" s="15">
        <v>3</v>
      </c>
      <c r="EV101" s="15">
        <v>4</v>
      </c>
      <c r="EW101" s="15">
        <v>5</v>
      </c>
      <c r="EX101" s="15">
        <v>4</v>
      </c>
      <c r="EY101" s="15">
        <v>5</v>
      </c>
      <c r="EZ101" s="15">
        <v>4</v>
      </c>
      <c r="FA101" s="15">
        <v>3</v>
      </c>
      <c r="FB101" s="15">
        <v>1</v>
      </c>
      <c r="FC101" s="15">
        <v>4</v>
      </c>
      <c r="FD101" s="15">
        <v>4</v>
      </c>
      <c r="FE101" s="15">
        <v>3</v>
      </c>
      <c r="FF101" s="15">
        <v>5</v>
      </c>
      <c r="FG101" s="15">
        <v>3</v>
      </c>
      <c r="FH101" s="15">
        <v>4</v>
      </c>
      <c r="FI101" s="15">
        <v>3</v>
      </c>
      <c r="FJ101" s="15">
        <v>4</v>
      </c>
      <c r="FK101" s="15">
        <v>2</v>
      </c>
      <c r="FL101" s="15">
        <v>4</v>
      </c>
      <c r="FM101" s="15">
        <v>3</v>
      </c>
      <c r="FN101" s="15">
        <v>4</v>
      </c>
      <c r="FO101" s="15">
        <v>3</v>
      </c>
      <c r="FP101" s="15">
        <v>3</v>
      </c>
      <c r="FQ101" s="15">
        <v>4</v>
      </c>
      <c r="FR101" s="15">
        <v>4</v>
      </c>
      <c r="FS101" s="15">
        <v>4</v>
      </c>
      <c r="FT101" s="15">
        <v>4</v>
      </c>
      <c r="FU101" s="15">
        <v>5</v>
      </c>
      <c r="FV101" s="15" t="s">
        <v>312</v>
      </c>
      <c r="FW101" s="15">
        <v>1</v>
      </c>
      <c r="FX101" s="15">
        <v>4</v>
      </c>
      <c r="FY101" s="15">
        <v>4</v>
      </c>
      <c r="FZ101" s="15">
        <v>3</v>
      </c>
      <c r="GA101" s="15">
        <v>3</v>
      </c>
      <c r="GB101" s="15">
        <v>1</v>
      </c>
      <c r="GC101" s="15">
        <v>1</v>
      </c>
      <c r="GD101" s="15">
        <v>2</v>
      </c>
      <c r="GE101" s="15">
        <v>4</v>
      </c>
      <c r="GF101" s="15">
        <v>4</v>
      </c>
      <c r="GG101" s="15">
        <v>2</v>
      </c>
      <c r="GH101" s="15">
        <v>1</v>
      </c>
      <c r="GI101" s="15">
        <v>3</v>
      </c>
      <c r="GJ101" s="15">
        <v>3</v>
      </c>
      <c r="GK101" s="15">
        <v>4</v>
      </c>
      <c r="GL101" s="15">
        <v>2</v>
      </c>
      <c r="GM101" s="15">
        <v>3</v>
      </c>
      <c r="GN101" s="15">
        <v>4</v>
      </c>
      <c r="GO101" s="15">
        <v>5</v>
      </c>
      <c r="GP101" s="15">
        <v>2</v>
      </c>
      <c r="GQ101" s="15">
        <v>1</v>
      </c>
      <c r="GR101" s="15">
        <v>3</v>
      </c>
      <c r="GS101" s="15">
        <v>4</v>
      </c>
      <c r="GT101" s="15">
        <v>3</v>
      </c>
      <c r="GU101" s="15">
        <v>2</v>
      </c>
      <c r="GV101" s="15">
        <v>4</v>
      </c>
      <c r="GW101" s="15">
        <v>4</v>
      </c>
      <c r="GX101" s="15">
        <v>2</v>
      </c>
      <c r="GY101" s="15">
        <v>5</v>
      </c>
      <c r="GZ101" s="15">
        <v>5</v>
      </c>
      <c r="HA101" s="15">
        <v>1</v>
      </c>
      <c r="HB101" s="15">
        <v>1</v>
      </c>
      <c r="HC101" s="15">
        <v>2</v>
      </c>
      <c r="HD101" s="15">
        <v>2</v>
      </c>
      <c r="HE101" s="15">
        <v>1</v>
      </c>
      <c r="HF101" s="15">
        <v>2</v>
      </c>
      <c r="HG101" s="15">
        <v>2</v>
      </c>
      <c r="HH101" s="15">
        <v>1</v>
      </c>
      <c r="HI101" s="15">
        <v>4</v>
      </c>
      <c r="HJ101" s="15">
        <v>3</v>
      </c>
      <c r="HK101" s="15">
        <v>2</v>
      </c>
      <c r="HL101" s="15">
        <v>2</v>
      </c>
      <c r="HM101" s="15">
        <v>3</v>
      </c>
      <c r="HN101" s="15">
        <v>1</v>
      </c>
      <c r="HO101" s="15">
        <v>4</v>
      </c>
      <c r="HP101" s="15">
        <v>2</v>
      </c>
      <c r="HQ101" s="15">
        <v>4</v>
      </c>
      <c r="HR101" s="15">
        <v>1</v>
      </c>
      <c r="HS101" s="15">
        <v>4</v>
      </c>
      <c r="HT101" s="15">
        <v>3</v>
      </c>
      <c r="HU101" s="15">
        <v>2</v>
      </c>
      <c r="HV101" s="15">
        <v>2</v>
      </c>
      <c r="HW101" s="15">
        <v>4</v>
      </c>
      <c r="HX101" s="15">
        <v>3</v>
      </c>
      <c r="HY101" s="15">
        <v>4.25</v>
      </c>
      <c r="HZ101" s="15">
        <v>4.25</v>
      </c>
      <c r="IA101" s="15">
        <v>3</v>
      </c>
      <c r="IB101" s="15">
        <v>3.5</v>
      </c>
      <c r="IC101" s="15">
        <v>4</v>
      </c>
      <c r="ID101" s="15">
        <v>3.75</v>
      </c>
      <c r="IE101" s="15">
        <v>3.75</v>
      </c>
      <c r="IF101" s="15">
        <v>3.75</v>
      </c>
      <c r="IG101" s="15">
        <v>2.5</v>
      </c>
      <c r="IH101" s="15">
        <v>3.75</v>
      </c>
      <c r="II101" s="15">
        <v>3.25</v>
      </c>
      <c r="IJ101" s="15">
        <v>1.25</v>
      </c>
      <c r="IK101" s="15">
        <v>3.5</v>
      </c>
      <c r="IL101" s="15">
        <v>3.5</v>
      </c>
      <c r="IM101" s="15">
        <v>2.75</v>
      </c>
      <c r="IN101" s="15">
        <v>4.25</v>
      </c>
      <c r="IO101" s="15">
        <v>2.25</v>
      </c>
      <c r="IP101" s="15">
        <v>2.25</v>
      </c>
      <c r="IQ101" s="15">
        <v>3.75</v>
      </c>
      <c r="IR101" s="15">
        <v>2.75</v>
      </c>
      <c r="IS101" s="15">
        <v>2</v>
      </c>
      <c r="IT101" s="15">
        <v>3</v>
      </c>
      <c r="IU101" s="15">
        <v>3.5</v>
      </c>
      <c r="IV101" s="15">
        <v>5</v>
      </c>
      <c r="IW101" s="15">
        <v>4.75</v>
      </c>
      <c r="IX101" s="15">
        <v>4.25</v>
      </c>
      <c r="IY101" s="15">
        <v>4</v>
      </c>
      <c r="IZ101" s="15">
        <v>4.25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6BE8F-5A7E-4AF2-8952-43986E331349}">
  <dimension ref="A1:E14"/>
  <sheetViews>
    <sheetView topLeftCell="A13" workbookViewId="0"/>
  </sheetViews>
  <sheetFormatPr defaultRowHeight="14.4" x14ac:dyDescent="0.3"/>
  <cols>
    <col min="1" max="1" width="12.5546875" bestFit="1" customWidth="1"/>
    <col min="2" max="2" width="19.88671875" bestFit="1" customWidth="1"/>
    <col min="3" max="3" width="21.33203125" bestFit="1" customWidth="1"/>
    <col min="4" max="5" width="21.109375" bestFit="1" customWidth="1"/>
    <col min="6" max="6" width="17.33203125" bestFit="1" customWidth="1"/>
    <col min="7" max="7" width="19.77734375" bestFit="1" customWidth="1"/>
  </cols>
  <sheetData>
    <row r="1" spans="1:5" x14ac:dyDescent="0.3">
      <c r="A1" s="5" t="s">
        <v>448</v>
      </c>
      <c r="B1" t="s">
        <v>451</v>
      </c>
      <c r="C1" t="s">
        <v>453</v>
      </c>
      <c r="D1" t="s">
        <v>455</v>
      </c>
      <c r="E1" t="s">
        <v>450</v>
      </c>
    </row>
    <row r="2" spans="1:5" x14ac:dyDescent="0.3">
      <c r="A2" s="6">
        <v>1.5</v>
      </c>
      <c r="B2">
        <v>0</v>
      </c>
      <c r="C2">
        <v>0</v>
      </c>
      <c r="D2">
        <v>0.18269230769230768</v>
      </c>
      <c r="E2">
        <v>2.0833333333333332E-2</v>
      </c>
    </row>
    <row r="3" spans="1:5" x14ac:dyDescent="0.3">
      <c r="A3" s="6">
        <v>1.75</v>
      </c>
      <c r="B3">
        <v>1</v>
      </c>
      <c r="C3">
        <v>1</v>
      </c>
      <c r="D3">
        <v>0.97272727272727266</v>
      </c>
      <c r="E3">
        <v>0.64583333333333326</v>
      </c>
    </row>
    <row r="4" spans="1:5" x14ac:dyDescent="0.3">
      <c r="A4" s="6">
        <v>2</v>
      </c>
      <c r="B4">
        <v>5</v>
      </c>
      <c r="C4">
        <v>5</v>
      </c>
      <c r="D4">
        <v>3.1909090909090909</v>
      </c>
      <c r="E4">
        <v>2.2083333333333335</v>
      </c>
    </row>
    <row r="5" spans="1:5" x14ac:dyDescent="0.3">
      <c r="A5" s="6">
        <v>2.25</v>
      </c>
      <c r="B5">
        <v>10</v>
      </c>
      <c r="C5">
        <v>10</v>
      </c>
      <c r="D5">
        <v>6.4363636363636365</v>
      </c>
      <c r="E5">
        <v>5.25</v>
      </c>
    </row>
    <row r="6" spans="1:5" x14ac:dyDescent="0.3">
      <c r="A6" s="6">
        <v>2.5</v>
      </c>
      <c r="B6">
        <v>7</v>
      </c>
      <c r="C6">
        <v>7</v>
      </c>
      <c r="D6">
        <v>6.0272727272727282</v>
      </c>
      <c r="E6">
        <v>4.3333333333333321</v>
      </c>
    </row>
    <row r="7" spans="1:5" x14ac:dyDescent="0.3">
      <c r="A7" s="6">
        <v>2.75</v>
      </c>
      <c r="B7">
        <v>5</v>
      </c>
      <c r="C7">
        <v>6</v>
      </c>
      <c r="D7">
        <v>5.6545454545454543</v>
      </c>
      <c r="E7">
        <v>4.1666666666666661</v>
      </c>
    </row>
    <row r="8" spans="1:5" x14ac:dyDescent="0.3">
      <c r="A8" s="6">
        <v>3</v>
      </c>
      <c r="B8">
        <v>9</v>
      </c>
      <c r="C8">
        <v>13</v>
      </c>
      <c r="D8">
        <v>8.7045454545454533</v>
      </c>
      <c r="E8">
        <v>6.0458333333333325</v>
      </c>
    </row>
    <row r="9" spans="1:5" x14ac:dyDescent="0.3">
      <c r="A9" s="6">
        <v>3.25</v>
      </c>
      <c r="B9">
        <v>14</v>
      </c>
      <c r="C9">
        <v>16</v>
      </c>
      <c r="D9">
        <v>8.2727272727272716</v>
      </c>
      <c r="E9">
        <v>6.208333333333333</v>
      </c>
    </row>
    <row r="10" spans="1:5" x14ac:dyDescent="0.3">
      <c r="A10" s="6">
        <v>3.5</v>
      </c>
      <c r="B10">
        <v>17</v>
      </c>
      <c r="C10">
        <v>19</v>
      </c>
      <c r="D10">
        <v>8</v>
      </c>
      <c r="E10">
        <v>6.895833333333333</v>
      </c>
    </row>
    <row r="11" spans="1:5" x14ac:dyDescent="0.3">
      <c r="A11" s="6">
        <v>3.75</v>
      </c>
      <c r="B11">
        <v>9</v>
      </c>
      <c r="C11">
        <v>10</v>
      </c>
      <c r="D11">
        <v>5.0545454545454547</v>
      </c>
      <c r="E11">
        <v>4.375</v>
      </c>
    </row>
    <row r="12" spans="1:5" x14ac:dyDescent="0.3">
      <c r="A12" s="6">
        <v>4</v>
      </c>
      <c r="B12">
        <v>9</v>
      </c>
      <c r="C12">
        <v>9</v>
      </c>
      <c r="D12">
        <v>3.2363636363636363</v>
      </c>
      <c r="E12">
        <v>3.020833333333333</v>
      </c>
    </row>
    <row r="13" spans="1:5" x14ac:dyDescent="0.3">
      <c r="A13" s="6">
        <v>4.5</v>
      </c>
      <c r="B13">
        <v>3</v>
      </c>
      <c r="C13">
        <v>3</v>
      </c>
      <c r="D13">
        <v>1.4545454545454546</v>
      </c>
      <c r="E13">
        <v>1.3125</v>
      </c>
    </row>
    <row r="14" spans="1:5" x14ac:dyDescent="0.3">
      <c r="A14" s="6" t="s">
        <v>449</v>
      </c>
      <c r="B14">
        <v>89</v>
      </c>
      <c r="C14">
        <v>99</v>
      </c>
      <c r="D14">
        <v>57.187237762237757</v>
      </c>
      <c r="E14">
        <v>44.483333333333334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8EB58-FA1C-4197-BF86-6B66D46C1B0E}">
  <dimension ref="A1:E15"/>
  <sheetViews>
    <sheetView workbookViewId="0">
      <selection activeCell="E2" sqref="E2"/>
    </sheetView>
  </sheetViews>
  <sheetFormatPr defaultRowHeight="14.4" x14ac:dyDescent="0.3"/>
  <cols>
    <col min="1" max="1" width="12.5546875" bestFit="1" customWidth="1"/>
    <col min="2" max="2" width="21.33203125" bestFit="1" customWidth="1"/>
    <col min="3" max="3" width="19.88671875" bestFit="1" customWidth="1"/>
    <col min="4" max="4" width="21.33203125" bestFit="1" customWidth="1"/>
  </cols>
  <sheetData>
    <row r="1" spans="1:5" x14ac:dyDescent="0.3">
      <c r="A1" s="5" t="s">
        <v>448</v>
      </c>
      <c r="B1" t="s">
        <v>458</v>
      </c>
      <c r="C1" t="s">
        <v>451</v>
      </c>
    </row>
    <row r="2" spans="1:5" x14ac:dyDescent="0.3">
      <c r="A2" s="6">
        <v>2</v>
      </c>
      <c r="C2">
        <v>0</v>
      </c>
      <c r="E2" s="4" t="s">
        <v>459</v>
      </c>
    </row>
    <row r="3" spans="1:5" x14ac:dyDescent="0.3">
      <c r="A3" s="6">
        <v>2.25</v>
      </c>
      <c r="C3">
        <v>2</v>
      </c>
    </row>
    <row r="4" spans="1:5" x14ac:dyDescent="0.3">
      <c r="A4" s="6">
        <v>2.5</v>
      </c>
      <c r="C4">
        <v>1</v>
      </c>
    </row>
    <row r="5" spans="1:5" x14ac:dyDescent="0.3">
      <c r="A5" s="6">
        <v>2.75</v>
      </c>
      <c r="B5">
        <v>0</v>
      </c>
      <c r="C5">
        <v>1</v>
      </c>
    </row>
    <row r="6" spans="1:5" x14ac:dyDescent="0.3">
      <c r="A6" s="6">
        <v>3</v>
      </c>
      <c r="C6">
        <v>5</v>
      </c>
    </row>
    <row r="7" spans="1:5" x14ac:dyDescent="0.3">
      <c r="A7" s="6">
        <v>3.25</v>
      </c>
      <c r="C7">
        <v>7</v>
      </c>
    </row>
    <row r="8" spans="1:5" x14ac:dyDescent="0.3">
      <c r="A8" s="6">
        <v>3.5</v>
      </c>
      <c r="B8">
        <v>3</v>
      </c>
      <c r="C8">
        <v>7</v>
      </c>
    </row>
    <row r="9" spans="1:5" x14ac:dyDescent="0.3">
      <c r="A9" s="6">
        <v>3.75</v>
      </c>
      <c r="B9">
        <v>9</v>
      </c>
      <c r="C9">
        <v>10</v>
      </c>
    </row>
    <row r="10" spans="1:5" x14ac:dyDescent="0.3">
      <c r="A10" s="6">
        <v>4</v>
      </c>
      <c r="B10">
        <v>6</v>
      </c>
      <c r="C10">
        <v>11</v>
      </c>
    </row>
    <row r="11" spans="1:5" x14ac:dyDescent="0.3">
      <c r="A11" s="6">
        <v>4.25</v>
      </c>
      <c r="B11">
        <v>6</v>
      </c>
      <c r="C11">
        <v>17</v>
      </c>
    </row>
    <row r="12" spans="1:5" x14ac:dyDescent="0.3">
      <c r="A12" s="6">
        <v>4.5</v>
      </c>
      <c r="B12">
        <v>3</v>
      </c>
      <c r="C12">
        <v>20</v>
      </c>
    </row>
    <row r="13" spans="1:5" x14ac:dyDescent="0.3">
      <c r="A13" s="6">
        <v>4.75</v>
      </c>
      <c r="B13">
        <v>3</v>
      </c>
      <c r="C13">
        <v>5</v>
      </c>
    </row>
    <row r="14" spans="1:5" x14ac:dyDescent="0.3">
      <c r="A14" s="6">
        <v>5</v>
      </c>
      <c r="B14">
        <v>0</v>
      </c>
      <c r="C14">
        <v>3</v>
      </c>
    </row>
    <row r="15" spans="1:5" x14ac:dyDescent="0.3">
      <c r="A15" s="6" t="s">
        <v>449</v>
      </c>
      <c r="B15">
        <v>30</v>
      </c>
      <c r="C15">
        <v>89</v>
      </c>
    </row>
  </sheetData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4EB0A-8797-4BD8-9AFD-517787BDC278}">
  <dimension ref="A1:F17"/>
  <sheetViews>
    <sheetView topLeftCell="A4" workbookViewId="0">
      <selection activeCell="F2" sqref="F2"/>
    </sheetView>
  </sheetViews>
  <sheetFormatPr defaultRowHeight="14.4" x14ac:dyDescent="0.3"/>
  <cols>
    <col min="1" max="1" width="12.5546875" bestFit="1" customWidth="1"/>
    <col min="2" max="2" width="24.44140625" bestFit="1" customWidth="1"/>
    <col min="3" max="3" width="23.109375" bestFit="1" customWidth="1"/>
  </cols>
  <sheetData>
    <row r="1" spans="1:6" x14ac:dyDescent="0.3">
      <c r="A1" s="5" t="s">
        <v>448</v>
      </c>
      <c r="B1" t="s">
        <v>454</v>
      </c>
      <c r="C1" t="s">
        <v>452</v>
      </c>
    </row>
    <row r="2" spans="1:6" x14ac:dyDescent="0.3">
      <c r="A2" s="6">
        <v>1.5</v>
      </c>
      <c r="B2">
        <v>0.75</v>
      </c>
      <c r="C2">
        <v>0.5</v>
      </c>
      <c r="F2" t="s">
        <v>460</v>
      </c>
    </row>
    <row r="3" spans="1:6" x14ac:dyDescent="0.3">
      <c r="A3" s="6">
        <v>1.75</v>
      </c>
      <c r="B3">
        <v>0</v>
      </c>
      <c r="C3">
        <v>0</v>
      </c>
    </row>
    <row r="4" spans="1:6" x14ac:dyDescent="0.3">
      <c r="A4" s="6">
        <v>2</v>
      </c>
      <c r="B4">
        <v>0.75</v>
      </c>
      <c r="C4">
        <v>0.5</v>
      </c>
    </row>
    <row r="5" spans="1:6" x14ac:dyDescent="0.3">
      <c r="A5" s="6">
        <v>2.25</v>
      </c>
      <c r="B5">
        <v>1</v>
      </c>
      <c r="C5">
        <v>1</v>
      </c>
    </row>
    <row r="6" spans="1:6" x14ac:dyDescent="0.3">
      <c r="A6" s="6">
        <v>2.5</v>
      </c>
      <c r="B6">
        <v>1.2</v>
      </c>
      <c r="C6">
        <v>1.2</v>
      </c>
    </row>
    <row r="7" spans="1:6" x14ac:dyDescent="0.3">
      <c r="A7" s="6">
        <v>2.75</v>
      </c>
      <c r="B7">
        <v>1</v>
      </c>
      <c r="C7">
        <v>0.875</v>
      </c>
    </row>
    <row r="8" spans="1:6" x14ac:dyDescent="0.3">
      <c r="A8" s="6">
        <v>3</v>
      </c>
      <c r="B8">
        <v>0</v>
      </c>
      <c r="C8">
        <v>0</v>
      </c>
    </row>
    <row r="9" spans="1:6" x14ac:dyDescent="0.3">
      <c r="A9" s="6">
        <v>3.25</v>
      </c>
      <c r="B9">
        <v>0.8666666666666667</v>
      </c>
      <c r="C9">
        <v>0.8</v>
      </c>
    </row>
    <row r="10" spans="1:6" x14ac:dyDescent="0.3">
      <c r="A10" s="6">
        <v>3.5</v>
      </c>
      <c r="B10">
        <v>0.9375</v>
      </c>
      <c r="C10">
        <v>0.875</v>
      </c>
    </row>
    <row r="11" spans="1:6" x14ac:dyDescent="0.3">
      <c r="A11" s="6">
        <v>3.75</v>
      </c>
      <c r="B11">
        <v>1.1000000000000001</v>
      </c>
      <c r="C11">
        <v>0.6</v>
      </c>
    </row>
    <row r="12" spans="1:6" x14ac:dyDescent="0.3">
      <c r="A12" s="6">
        <v>4</v>
      </c>
      <c r="B12">
        <v>1.1111111111111112</v>
      </c>
      <c r="C12">
        <v>1.1111111111111112</v>
      </c>
    </row>
    <row r="13" spans="1:6" x14ac:dyDescent="0.3">
      <c r="A13" s="6">
        <v>4.25</v>
      </c>
      <c r="B13">
        <v>1</v>
      </c>
      <c r="C13">
        <v>1</v>
      </c>
    </row>
    <row r="14" spans="1:6" x14ac:dyDescent="0.3">
      <c r="A14" s="6">
        <v>4.5</v>
      </c>
      <c r="B14">
        <v>2.5</v>
      </c>
      <c r="C14">
        <v>2.5</v>
      </c>
    </row>
    <row r="15" spans="1:6" x14ac:dyDescent="0.3">
      <c r="A15" s="6">
        <v>4.75</v>
      </c>
      <c r="B15">
        <v>2</v>
      </c>
      <c r="C15">
        <v>2</v>
      </c>
    </row>
    <row r="16" spans="1:6" x14ac:dyDescent="0.3">
      <c r="A16" s="6">
        <v>5</v>
      </c>
      <c r="B16">
        <v>3</v>
      </c>
      <c r="C16">
        <v>3</v>
      </c>
    </row>
    <row r="17" spans="1:3" x14ac:dyDescent="0.3">
      <c r="A17" s="6" t="s">
        <v>449</v>
      </c>
      <c r="B17">
        <v>0.99</v>
      </c>
      <c r="C17">
        <v>0.89</v>
      </c>
    </row>
  </sheetData>
  <pageMargins left="0.7" right="0.7" top="0.75" bottom="0.75" header="0.3" footer="0.3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EB50D-D6B2-4275-91F4-455BF3AEBB40}">
  <dimension ref="A1:E14"/>
  <sheetViews>
    <sheetView workbookViewId="0">
      <selection activeCell="K11" sqref="K11"/>
    </sheetView>
  </sheetViews>
  <sheetFormatPr defaultRowHeight="14.4" x14ac:dyDescent="0.3"/>
  <cols>
    <col min="1" max="1" width="12.5546875" bestFit="1" customWidth="1"/>
    <col min="2" max="3" width="24.33203125" bestFit="1" customWidth="1"/>
    <col min="4" max="4" width="24.44140625" bestFit="1" customWidth="1"/>
    <col min="5" max="5" width="23.109375" bestFit="1" customWidth="1"/>
  </cols>
  <sheetData>
    <row r="1" spans="1:5" x14ac:dyDescent="0.3">
      <c r="A1" s="5" t="s">
        <v>448</v>
      </c>
      <c r="B1" t="s">
        <v>456</v>
      </c>
      <c r="C1" t="s">
        <v>457</v>
      </c>
      <c r="D1" t="s">
        <v>454</v>
      </c>
      <c r="E1" t="s">
        <v>452</v>
      </c>
    </row>
    <row r="2" spans="1:5" x14ac:dyDescent="0.3">
      <c r="A2" s="6">
        <v>1.75</v>
      </c>
      <c r="B2">
        <v>0.20833333333333334</v>
      </c>
      <c r="C2">
        <v>0.24545454545454545</v>
      </c>
      <c r="D2">
        <v>0</v>
      </c>
      <c r="E2">
        <v>0</v>
      </c>
    </row>
    <row r="3" spans="1:5" x14ac:dyDescent="0.3">
      <c r="A3" s="6">
        <v>2.5</v>
      </c>
      <c r="B3">
        <v>6.25E-2</v>
      </c>
      <c r="C3">
        <v>0.2368006993006993</v>
      </c>
      <c r="D3">
        <v>0</v>
      </c>
      <c r="E3">
        <v>0</v>
      </c>
    </row>
    <row r="4" spans="1:5" x14ac:dyDescent="0.3">
      <c r="A4" s="6">
        <v>2.75</v>
      </c>
      <c r="B4">
        <v>0.91666666666666663</v>
      </c>
      <c r="C4">
        <v>0.92954545454545456</v>
      </c>
      <c r="D4">
        <v>2.5</v>
      </c>
      <c r="E4">
        <v>2.25</v>
      </c>
    </row>
    <row r="5" spans="1:5" x14ac:dyDescent="0.3">
      <c r="A5" s="6">
        <v>3</v>
      </c>
      <c r="B5">
        <v>0.1875</v>
      </c>
      <c r="C5">
        <v>0.36363636363636365</v>
      </c>
      <c r="D5">
        <v>0</v>
      </c>
      <c r="E5">
        <v>0</v>
      </c>
    </row>
    <row r="6" spans="1:5" x14ac:dyDescent="0.3">
      <c r="A6" s="6">
        <v>3.25</v>
      </c>
      <c r="B6">
        <v>0.30833333333333335</v>
      </c>
      <c r="C6">
        <v>0.4963636363636364</v>
      </c>
      <c r="D6">
        <v>0.4</v>
      </c>
      <c r="E6">
        <v>0.3</v>
      </c>
    </row>
    <row r="7" spans="1:5" x14ac:dyDescent="0.3">
      <c r="A7" s="6">
        <v>3.5</v>
      </c>
      <c r="B7">
        <v>0.51041666666666674</v>
      </c>
      <c r="C7">
        <v>0.62499999999999989</v>
      </c>
      <c r="D7">
        <v>1.375</v>
      </c>
      <c r="E7">
        <v>1.375</v>
      </c>
    </row>
    <row r="8" spans="1:5" x14ac:dyDescent="0.3">
      <c r="A8" s="6">
        <v>3.75</v>
      </c>
      <c r="B8">
        <v>0.4392361111111111</v>
      </c>
      <c r="C8">
        <v>0.54621212121212115</v>
      </c>
      <c r="D8">
        <v>0.91666666666666663</v>
      </c>
      <c r="E8">
        <v>0.75</v>
      </c>
    </row>
    <row r="9" spans="1:5" x14ac:dyDescent="0.3">
      <c r="A9" s="6">
        <v>4</v>
      </c>
      <c r="B9">
        <v>0.43055555555555552</v>
      </c>
      <c r="C9">
        <v>0.5714285714285714</v>
      </c>
      <c r="D9">
        <v>0.90476190476190477</v>
      </c>
      <c r="E9">
        <v>0.8571428571428571</v>
      </c>
    </row>
    <row r="10" spans="1:5" x14ac:dyDescent="0.3">
      <c r="A10" s="6">
        <v>4.25</v>
      </c>
      <c r="B10">
        <v>0.49142156862745096</v>
      </c>
      <c r="C10">
        <v>0.58235294117647063</v>
      </c>
      <c r="D10">
        <v>1.1764705882352942</v>
      </c>
      <c r="E10">
        <v>1.1764705882352942</v>
      </c>
    </row>
    <row r="11" spans="1:5" x14ac:dyDescent="0.3">
      <c r="A11" s="6">
        <v>4.5</v>
      </c>
      <c r="B11">
        <v>0.46083333333333326</v>
      </c>
      <c r="C11">
        <v>0.60136363636363632</v>
      </c>
      <c r="D11">
        <v>1</v>
      </c>
      <c r="E11">
        <v>0.7</v>
      </c>
    </row>
    <row r="12" spans="1:5" x14ac:dyDescent="0.3">
      <c r="A12" s="6">
        <v>4.75</v>
      </c>
      <c r="B12">
        <v>0.43055555555555558</v>
      </c>
      <c r="C12">
        <v>0.57272727272727275</v>
      </c>
      <c r="D12">
        <v>1</v>
      </c>
      <c r="E12">
        <v>0.88888888888888884</v>
      </c>
    </row>
    <row r="13" spans="1:5" x14ac:dyDescent="0.3">
      <c r="A13" s="6">
        <v>5</v>
      </c>
      <c r="B13">
        <v>0.39583333333333337</v>
      </c>
      <c r="C13">
        <v>0.55999999999999994</v>
      </c>
      <c r="D13">
        <v>1</v>
      </c>
      <c r="E13">
        <v>0.8</v>
      </c>
    </row>
    <row r="14" spans="1:5" x14ac:dyDescent="0.3">
      <c r="A14" s="6" t="s">
        <v>449</v>
      </c>
      <c r="B14">
        <v>0.44483333333333336</v>
      </c>
      <c r="C14">
        <v>0.57187237762237775</v>
      </c>
      <c r="D14">
        <v>0.99</v>
      </c>
      <c r="E14">
        <v>0.89</v>
      </c>
    </row>
  </sheetData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3FF34-F210-4E4B-B99B-22AC8033F985}">
  <dimension ref="A1:B4"/>
  <sheetViews>
    <sheetView workbookViewId="0">
      <selection activeCell="L18" sqref="L18"/>
    </sheetView>
  </sheetViews>
  <sheetFormatPr defaultRowHeight="14.4" x14ac:dyDescent="0.3"/>
  <cols>
    <col min="1" max="1" width="12.5546875" bestFit="1" customWidth="1"/>
    <col min="2" max="2" width="18" bestFit="1" customWidth="1"/>
  </cols>
  <sheetData>
    <row r="1" spans="1:2" x14ac:dyDescent="0.3">
      <c r="A1" s="5" t="s">
        <v>448</v>
      </c>
      <c r="B1" t="s">
        <v>464</v>
      </c>
    </row>
    <row r="2" spans="1:2" x14ac:dyDescent="0.3">
      <c r="A2" s="6">
        <v>0</v>
      </c>
      <c r="B2">
        <v>86</v>
      </c>
    </row>
    <row r="3" spans="1:2" x14ac:dyDescent="0.3">
      <c r="A3" s="6">
        <v>1</v>
      </c>
      <c r="B3">
        <v>14</v>
      </c>
    </row>
    <row r="4" spans="1:2" x14ac:dyDescent="0.3">
      <c r="A4" s="6" t="s">
        <v>449</v>
      </c>
      <c r="B4">
        <v>100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4DCD5-E4AF-4126-B58B-BBA4E36A5127}">
  <dimension ref="S3:U72"/>
  <sheetViews>
    <sheetView workbookViewId="0">
      <selection activeCell="V29" sqref="V29"/>
    </sheetView>
  </sheetViews>
  <sheetFormatPr defaultRowHeight="14.4" x14ac:dyDescent="0.3"/>
  <sheetData>
    <row r="3" spans="19:21" x14ac:dyDescent="0.3">
      <c r="S3" t="s">
        <v>469</v>
      </c>
      <c r="T3" t="s">
        <v>467</v>
      </c>
      <c r="U3" t="s">
        <v>468</v>
      </c>
    </row>
    <row r="4" spans="19:21" x14ac:dyDescent="0.3">
      <c r="S4" s="8">
        <v>51.354079999999996</v>
      </c>
      <c r="T4" s="9">
        <v>98.974632999999997</v>
      </c>
      <c r="U4" s="9">
        <v>130.02454999999998</v>
      </c>
    </row>
    <row r="5" spans="19:21" x14ac:dyDescent="0.3">
      <c r="S5" s="8">
        <v>66.845309999999998</v>
      </c>
      <c r="T5" s="9">
        <v>178.63866999999999</v>
      </c>
      <c r="U5" s="9">
        <v>75.643630999999999</v>
      </c>
    </row>
    <row r="6" spans="19:21" x14ac:dyDescent="0.3">
      <c r="S6" s="8">
        <v>168.64059900000001</v>
      </c>
      <c r="T6" s="9">
        <v>131.311218</v>
      </c>
      <c r="U6" s="9">
        <v>70.542271999999997</v>
      </c>
    </row>
    <row r="7" spans="19:21" x14ac:dyDescent="0.3">
      <c r="S7" s="8">
        <v>79.249843999999996</v>
      </c>
      <c r="T7" s="9">
        <v>87.969665000000006</v>
      </c>
      <c r="U7" s="9">
        <v>52.729310500000004</v>
      </c>
    </row>
    <row r="8" spans="19:21" x14ac:dyDescent="0.3">
      <c r="S8" s="8">
        <v>81.957971999999998</v>
      </c>
      <c r="T8" s="9">
        <v>190.79513599999999</v>
      </c>
      <c r="U8" s="9">
        <v>145.698215</v>
      </c>
    </row>
    <row r="9" spans="19:21" x14ac:dyDescent="0.3">
      <c r="S9" s="8">
        <v>128.70801499999999</v>
      </c>
      <c r="T9" s="9">
        <v>115.70901099999999</v>
      </c>
      <c r="U9" s="9">
        <v>86.530732000000015</v>
      </c>
    </row>
    <row r="10" spans="19:21" x14ac:dyDescent="0.3">
      <c r="S10" s="8">
        <v>107.80674099999999</v>
      </c>
      <c r="T10" s="9">
        <v>48.409570000000002</v>
      </c>
      <c r="U10" s="9">
        <v>68.579876999999996</v>
      </c>
    </row>
    <row r="11" spans="19:21" x14ac:dyDescent="0.3">
      <c r="S11" s="8">
        <v>83.552182999999999</v>
      </c>
      <c r="T11" s="9">
        <v>55.927301999999997</v>
      </c>
      <c r="U11" s="9">
        <v>153.08541966666667</v>
      </c>
    </row>
    <row r="12" spans="19:21" x14ac:dyDescent="0.3">
      <c r="S12" s="8">
        <v>23</v>
      </c>
      <c r="T12" s="9">
        <v>109.81583600000002</v>
      </c>
      <c r="U12" s="9">
        <v>80.287129000000007</v>
      </c>
    </row>
    <row r="13" spans="19:21" x14ac:dyDescent="0.3">
      <c r="S13" s="8">
        <v>76.153518999999989</v>
      </c>
      <c r="T13" s="9">
        <v>48.309069999999998</v>
      </c>
      <c r="U13" s="9">
        <v>63.416582999999996</v>
      </c>
    </row>
    <row r="14" spans="19:21" x14ac:dyDescent="0.3">
      <c r="S14" s="8">
        <v>165.664469</v>
      </c>
      <c r="T14" s="9">
        <v>165.93118000000001</v>
      </c>
      <c r="U14" s="9">
        <v>68.875745999999992</v>
      </c>
    </row>
    <row r="15" spans="19:21" x14ac:dyDescent="0.3">
      <c r="S15" s="8">
        <v>179.47166999999999</v>
      </c>
      <c r="T15" s="9">
        <v>252.58364999999998</v>
      </c>
      <c r="U15" s="9">
        <v>103.66355799999999</v>
      </c>
    </row>
    <row r="16" spans="19:21" x14ac:dyDescent="0.3">
      <c r="S16" s="8">
        <v>127.77303999999999</v>
      </c>
      <c r="T16" s="9">
        <v>87.486133333333328</v>
      </c>
      <c r="U16" s="9">
        <v>91.972447499999987</v>
      </c>
    </row>
    <row r="17" spans="19:20" x14ac:dyDescent="0.3">
      <c r="S17" s="8">
        <v>127.68294999999999</v>
      </c>
      <c r="T17" s="9">
        <v>103.30929900000001</v>
      </c>
    </row>
    <row r="18" spans="19:20" x14ac:dyDescent="0.3">
      <c r="S18" s="8">
        <v>62.135798000000001</v>
      </c>
      <c r="T18" s="9">
        <v>80.041266999999991</v>
      </c>
    </row>
    <row r="19" spans="19:20" x14ac:dyDescent="0.3">
      <c r="S19" s="8">
        <v>244.76452</v>
      </c>
      <c r="T19" s="9">
        <v>127.465716</v>
      </c>
    </row>
    <row r="20" spans="19:20" x14ac:dyDescent="0.3">
      <c r="S20" s="8">
        <v>162.47011800000001</v>
      </c>
      <c r="T20" s="9">
        <v>134.32501600000001</v>
      </c>
    </row>
    <row r="21" spans="19:20" x14ac:dyDescent="0.3">
      <c r="S21" s="8">
        <v>128.43061700000001</v>
      </c>
    </row>
    <row r="22" spans="19:20" x14ac:dyDescent="0.3">
      <c r="S22" s="8">
        <v>113.959058</v>
      </c>
    </row>
    <row r="23" spans="19:20" x14ac:dyDescent="0.3">
      <c r="S23" s="8">
        <v>65.151223999999999</v>
      </c>
    </row>
    <row r="24" spans="19:20" x14ac:dyDescent="0.3">
      <c r="S24" s="8">
        <v>64.28795199999999</v>
      </c>
    </row>
    <row r="25" spans="19:20" x14ac:dyDescent="0.3">
      <c r="S25" s="8">
        <v>98.528999999999996</v>
      </c>
    </row>
    <row r="26" spans="19:20" x14ac:dyDescent="0.3">
      <c r="S26" s="8">
        <v>105.107916</v>
      </c>
    </row>
    <row r="27" spans="19:20" x14ac:dyDescent="0.3">
      <c r="S27" s="8">
        <v>174.81508199999999</v>
      </c>
    </row>
    <row r="28" spans="19:20" x14ac:dyDescent="0.3">
      <c r="S28" s="8">
        <v>161.757362</v>
      </c>
    </row>
    <row r="29" spans="19:20" x14ac:dyDescent="0.3">
      <c r="S29" s="8">
        <v>59.167968999999992</v>
      </c>
    </row>
    <row r="30" spans="19:20" x14ac:dyDescent="0.3">
      <c r="S30" s="8">
        <v>116.87844</v>
      </c>
    </row>
    <row r="31" spans="19:20" x14ac:dyDescent="0.3">
      <c r="S31" s="8">
        <v>74.922310999999993</v>
      </c>
    </row>
    <row r="32" spans="19:20" x14ac:dyDescent="0.3">
      <c r="S32" s="8">
        <v>208.00873999999999</v>
      </c>
    </row>
    <row r="33" spans="19:19" x14ac:dyDescent="0.3">
      <c r="S33" s="8">
        <v>141.36290049999999</v>
      </c>
    </row>
    <row r="34" spans="19:19" x14ac:dyDescent="0.3">
      <c r="S34" s="8">
        <v>97.097036000000003</v>
      </c>
    </row>
    <row r="35" spans="19:19" x14ac:dyDescent="0.3">
      <c r="S35" s="8">
        <v>59.342337999999998</v>
      </c>
    </row>
    <row r="36" spans="19:19" x14ac:dyDescent="0.3">
      <c r="S36" s="8">
        <v>100.70306600000001</v>
      </c>
    </row>
    <row r="37" spans="19:19" x14ac:dyDescent="0.3">
      <c r="S37" s="8">
        <v>102.93067199999997</v>
      </c>
    </row>
    <row r="38" spans="19:19" x14ac:dyDescent="0.3">
      <c r="S38" s="8">
        <v>101.067273</v>
      </c>
    </row>
    <row r="39" spans="19:19" x14ac:dyDescent="0.3">
      <c r="S39" s="8">
        <v>73.747445999999997</v>
      </c>
    </row>
    <row r="40" spans="19:19" x14ac:dyDescent="0.3">
      <c r="S40" s="8">
        <v>43.773775999999998</v>
      </c>
    </row>
    <row r="41" spans="19:19" x14ac:dyDescent="0.3">
      <c r="S41" s="8">
        <v>74.319026000000008</v>
      </c>
    </row>
    <row r="42" spans="19:19" x14ac:dyDescent="0.3">
      <c r="S42" s="8">
        <v>153.82788400000001</v>
      </c>
    </row>
    <row r="43" spans="19:19" x14ac:dyDescent="0.3">
      <c r="S43" s="8">
        <v>175.47347349999998</v>
      </c>
    </row>
    <row r="44" spans="19:19" x14ac:dyDescent="0.3">
      <c r="S44" s="8">
        <v>129.21878100000001</v>
      </c>
    </row>
    <row r="45" spans="19:19" x14ac:dyDescent="0.3">
      <c r="S45" s="8">
        <v>197.31465450000002</v>
      </c>
    </row>
    <row r="46" spans="19:19" x14ac:dyDescent="0.3">
      <c r="S46" s="8">
        <v>160.14605574999999</v>
      </c>
    </row>
    <row r="47" spans="19:19" x14ac:dyDescent="0.3">
      <c r="S47" s="8">
        <v>64.576916999999995</v>
      </c>
    </row>
    <row r="48" spans="19:19" x14ac:dyDescent="0.3">
      <c r="S48" s="8">
        <v>167.53737000000001</v>
      </c>
    </row>
    <row r="49" spans="19:19" x14ac:dyDescent="0.3">
      <c r="S49" s="8">
        <v>85.623017000000004</v>
      </c>
    </row>
    <row r="50" spans="19:19" x14ac:dyDescent="0.3">
      <c r="S50" s="8">
        <v>75.271031999999991</v>
      </c>
    </row>
    <row r="51" spans="19:19" x14ac:dyDescent="0.3">
      <c r="S51" s="8">
        <v>100.92999100000002</v>
      </c>
    </row>
    <row r="52" spans="19:19" x14ac:dyDescent="0.3">
      <c r="S52" s="8">
        <v>155.62786499999999</v>
      </c>
    </row>
    <row r="53" spans="19:19" x14ac:dyDescent="0.3">
      <c r="S53" s="8">
        <v>51.171241999999999</v>
      </c>
    </row>
    <row r="54" spans="19:19" x14ac:dyDescent="0.3">
      <c r="S54" s="8">
        <v>165.08444999999998</v>
      </c>
    </row>
    <row r="55" spans="19:19" x14ac:dyDescent="0.3">
      <c r="S55" s="8">
        <v>43.730849000000006</v>
      </c>
    </row>
    <row r="56" spans="19:19" x14ac:dyDescent="0.3">
      <c r="S56" s="8">
        <v>94.002441999999988</v>
      </c>
    </row>
    <row r="57" spans="19:19" x14ac:dyDescent="0.3">
      <c r="S57" s="8">
        <v>52.103566000000001</v>
      </c>
    </row>
    <row r="58" spans="19:19" x14ac:dyDescent="0.3">
      <c r="S58" s="8">
        <v>84.592669000000001</v>
      </c>
    </row>
    <row r="59" spans="19:19" x14ac:dyDescent="0.3">
      <c r="S59" s="8">
        <v>73.038527000000002</v>
      </c>
    </row>
    <row r="60" spans="19:19" x14ac:dyDescent="0.3">
      <c r="S60" s="8">
        <v>133.73632500000002</v>
      </c>
    </row>
    <row r="61" spans="19:19" x14ac:dyDescent="0.3">
      <c r="S61" s="8">
        <v>76.417513499999998</v>
      </c>
    </row>
    <row r="62" spans="19:19" x14ac:dyDescent="0.3">
      <c r="S62" s="8">
        <v>113.44739799999999</v>
      </c>
    </row>
    <row r="63" spans="19:19" x14ac:dyDescent="0.3">
      <c r="S63" s="8">
        <v>119.481182</v>
      </c>
    </row>
    <row r="64" spans="19:19" x14ac:dyDescent="0.3">
      <c r="S64" s="8">
        <v>58.119325999999994</v>
      </c>
    </row>
    <row r="65" spans="19:19" x14ac:dyDescent="0.3">
      <c r="S65" s="8">
        <v>260.940113</v>
      </c>
    </row>
    <row r="66" spans="19:19" x14ac:dyDescent="0.3">
      <c r="S66" s="8">
        <v>56.605574999999995</v>
      </c>
    </row>
    <row r="67" spans="19:19" x14ac:dyDescent="0.3">
      <c r="S67" s="8">
        <v>134.19544299999998</v>
      </c>
    </row>
    <row r="68" spans="19:19" x14ac:dyDescent="0.3">
      <c r="S68" s="8">
        <v>77.370527999999993</v>
      </c>
    </row>
    <row r="69" spans="19:19" x14ac:dyDescent="0.3">
      <c r="S69" s="8">
        <v>140.364814</v>
      </c>
    </row>
    <row r="70" spans="19:19" x14ac:dyDescent="0.3">
      <c r="S70" s="8">
        <v>67.475610000000003</v>
      </c>
    </row>
    <row r="71" spans="19:19" x14ac:dyDescent="0.3">
      <c r="S71" s="8">
        <v>85.420851999999996</v>
      </c>
    </row>
    <row r="72" spans="19:19" x14ac:dyDescent="0.3">
      <c r="S72" s="8">
        <v>219.77392600000002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0B6B5-DC4F-4DCD-A603-9FFC53539340}">
  <dimension ref="A1:B16"/>
  <sheetViews>
    <sheetView workbookViewId="0">
      <selection activeCell="P7" sqref="P7"/>
    </sheetView>
  </sheetViews>
  <sheetFormatPr defaultRowHeight="14.4" x14ac:dyDescent="0.3"/>
  <cols>
    <col min="1" max="1" width="12.5546875" bestFit="1" customWidth="1"/>
    <col min="2" max="2" width="24" bestFit="1" customWidth="1"/>
  </cols>
  <sheetData>
    <row r="1" spans="1:2" x14ac:dyDescent="0.3">
      <c r="A1" s="5" t="s">
        <v>448</v>
      </c>
      <c r="B1" t="s">
        <v>463</v>
      </c>
    </row>
    <row r="2" spans="1:2" x14ac:dyDescent="0.3">
      <c r="A2" s="6">
        <v>1.75</v>
      </c>
      <c r="B2">
        <v>0.25</v>
      </c>
    </row>
    <row r="3" spans="1:2" x14ac:dyDescent="0.3">
      <c r="A3" s="6">
        <v>2</v>
      </c>
      <c r="B3">
        <v>0.15625</v>
      </c>
    </row>
    <row r="4" spans="1:2" x14ac:dyDescent="0.3">
      <c r="A4" s="6">
        <v>2.25</v>
      </c>
      <c r="B4">
        <v>0.1875</v>
      </c>
    </row>
    <row r="5" spans="1:2" x14ac:dyDescent="0.3">
      <c r="A5" s="6">
        <v>2.5</v>
      </c>
      <c r="B5">
        <v>0.3125</v>
      </c>
    </row>
    <row r="6" spans="1:2" x14ac:dyDescent="0.3">
      <c r="A6" s="6">
        <v>2.75</v>
      </c>
      <c r="B6">
        <v>0.375</v>
      </c>
    </row>
    <row r="7" spans="1:2" x14ac:dyDescent="0.3">
      <c r="A7" s="6">
        <v>3</v>
      </c>
      <c r="B7">
        <v>0.35416666666666669</v>
      </c>
    </row>
    <row r="8" spans="1:2" x14ac:dyDescent="0.3">
      <c r="A8" s="6">
        <v>3.25</v>
      </c>
      <c r="B8">
        <v>0.3125</v>
      </c>
    </row>
    <row r="9" spans="1:2" x14ac:dyDescent="0.3">
      <c r="A9" s="6">
        <v>3.5</v>
      </c>
      <c r="B9">
        <v>0.33333333333333331</v>
      </c>
    </row>
    <row r="10" spans="1:2" x14ac:dyDescent="0.3">
      <c r="A10" s="6">
        <v>3.75</v>
      </c>
      <c r="B10">
        <v>0.34375</v>
      </c>
    </row>
    <row r="11" spans="1:2" x14ac:dyDescent="0.3">
      <c r="A11" s="6">
        <v>4</v>
      </c>
      <c r="B11">
        <v>0.3125</v>
      </c>
    </row>
    <row r="12" spans="1:2" x14ac:dyDescent="0.3">
      <c r="A12" s="6">
        <v>4.25</v>
      </c>
      <c r="B12">
        <v>0.29807692307692307</v>
      </c>
    </row>
    <row r="13" spans="1:2" x14ac:dyDescent="0.3">
      <c r="A13" s="6">
        <v>4.5</v>
      </c>
      <c r="B13">
        <v>0.21249999999999999</v>
      </c>
    </row>
    <row r="14" spans="1:2" x14ac:dyDescent="0.3">
      <c r="A14" s="6">
        <v>4.75</v>
      </c>
      <c r="B14">
        <v>0.32500000000000001</v>
      </c>
    </row>
    <row r="15" spans="1:2" x14ac:dyDescent="0.3">
      <c r="A15" s="6">
        <v>5</v>
      </c>
      <c r="B15">
        <v>0.27083333333333331</v>
      </c>
    </row>
    <row r="16" spans="1:2" x14ac:dyDescent="0.3">
      <c r="A16" s="6" t="s">
        <v>449</v>
      </c>
      <c r="B16">
        <v>0.3005050505050505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C2F3D-6120-4E40-B9E9-4438C2C3CCB8}">
  <dimension ref="A1:B18"/>
  <sheetViews>
    <sheetView workbookViewId="0">
      <selection activeCell="M20" sqref="M20"/>
    </sheetView>
  </sheetViews>
  <sheetFormatPr defaultRowHeight="14.4" x14ac:dyDescent="0.3"/>
  <cols>
    <col min="1" max="1" width="12.5546875" bestFit="1" customWidth="1"/>
    <col min="2" max="2" width="24" bestFit="1" customWidth="1"/>
  </cols>
  <sheetData>
    <row r="1" spans="1:2" x14ac:dyDescent="0.3">
      <c r="A1" s="5" t="s">
        <v>448</v>
      </c>
      <c r="B1" t="s">
        <v>463</v>
      </c>
    </row>
    <row r="2" spans="1:2" x14ac:dyDescent="0.3">
      <c r="A2" s="6">
        <v>1</v>
      </c>
      <c r="B2">
        <v>0.45</v>
      </c>
    </row>
    <row r="3" spans="1:2" x14ac:dyDescent="0.3">
      <c r="A3" s="6">
        <v>1.25</v>
      </c>
      <c r="B3">
        <v>0.375</v>
      </c>
    </row>
    <row r="4" spans="1:2" x14ac:dyDescent="0.3">
      <c r="A4" s="6">
        <v>1.5</v>
      </c>
      <c r="B4">
        <v>0.4</v>
      </c>
    </row>
    <row r="5" spans="1:2" x14ac:dyDescent="0.3">
      <c r="A5" s="6">
        <v>1.75</v>
      </c>
      <c r="B5">
        <v>0.46875</v>
      </c>
    </row>
    <row r="6" spans="1:2" x14ac:dyDescent="0.3">
      <c r="A6" s="6">
        <v>2</v>
      </c>
      <c r="B6">
        <v>0.25</v>
      </c>
    </row>
    <row r="7" spans="1:2" x14ac:dyDescent="0.3">
      <c r="A7" s="6">
        <v>2.25</v>
      </c>
      <c r="B7">
        <v>0.26923076923076922</v>
      </c>
    </row>
    <row r="8" spans="1:2" x14ac:dyDescent="0.3">
      <c r="A8" s="6">
        <v>2.5</v>
      </c>
      <c r="B8">
        <v>0.29166666666666669</v>
      </c>
    </row>
    <row r="9" spans="1:2" x14ac:dyDescent="0.3">
      <c r="A9" s="6">
        <v>2.75</v>
      </c>
      <c r="B9">
        <v>0.39285714285714285</v>
      </c>
    </row>
    <row r="10" spans="1:2" x14ac:dyDescent="0.3">
      <c r="A10" s="6">
        <v>3</v>
      </c>
      <c r="B10">
        <v>0.25</v>
      </c>
    </row>
    <row r="11" spans="1:2" x14ac:dyDescent="0.3">
      <c r="A11" s="6">
        <v>3.25</v>
      </c>
      <c r="B11">
        <v>0.25</v>
      </c>
    </row>
    <row r="12" spans="1:2" x14ac:dyDescent="0.3">
      <c r="A12" s="6">
        <v>3.5</v>
      </c>
      <c r="B12">
        <v>0.1875</v>
      </c>
    </row>
    <row r="13" spans="1:2" x14ac:dyDescent="0.3">
      <c r="A13" s="6">
        <v>3.75</v>
      </c>
      <c r="B13">
        <v>0.375</v>
      </c>
    </row>
    <row r="14" spans="1:2" x14ac:dyDescent="0.3">
      <c r="A14" s="6">
        <v>4</v>
      </c>
      <c r="B14">
        <v>0.27500000000000002</v>
      </c>
    </row>
    <row r="15" spans="1:2" x14ac:dyDescent="0.3">
      <c r="A15" s="6">
        <v>4.25</v>
      </c>
      <c r="B15">
        <v>0.1875</v>
      </c>
    </row>
    <row r="16" spans="1:2" x14ac:dyDescent="0.3">
      <c r="A16" s="6">
        <v>4.5</v>
      </c>
      <c r="B16">
        <v>0.25</v>
      </c>
    </row>
    <row r="17" spans="1:2" x14ac:dyDescent="0.3">
      <c r="A17" s="6">
        <v>4.75</v>
      </c>
      <c r="B17">
        <v>0.25</v>
      </c>
    </row>
    <row r="18" spans="1:2" x14ac:dyDescent="0.3">
      <c r="A18" s="6" t="s">
        <v>449</v>
      </c>
      <c r="B18">
        <v>0.3005050505050505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84B60-3A17-4746-BD85-44C5ADE7C88C}">
  <dimension ref="A1:B16"/>
  <sheetViews>
    <sheetView workbookViewId="0">
      <selection activeCell="N16" sqref="N16"/>
    </sheetView>
  </sheetViews>
  <sheetFormatPr defaultRowHeight="14.4" x14ac:dyDescent="0.3"/>
  <cols>
    <col min="1" max="1" width="12.5546875" bestFit="1" customWidth="1"/>
    <col min="2" max="2" width="24" bestFit="1" customWidth="1"/>
  </cols>
  <sheetData>
    <row r="1" spans="1:2" x14ac:dyDescent="0.3">
      <c r="A1" s="5" t="s">
        <v>448</v>
      </c>
      <c r="B1" t="s">
        <v>463</v>
      </c>
    </row>
    <row r="2" spans="1:2" x14ac:dyDescent="0.3">
      <c r="A2" s="6">
        <v>1.75</v>
      </c>
      <c r="B2">
        <v>0.375</v>
      </c>
    </row>
    <row r="3" spans="1:2" x14ac:dyDescent="0.3">
      <c r="A3" s="6">
        <v>2</v>
      </c>
      <c r="B3">
        <v>0.41666666666666669</v>
      </c>
    </row>
    <row r="4" spans="1:2" x14ac:dyDescent="0.3">
      <c r="A4" s="6">
        <v>2.25</v>
      </c>
      <c r="B4">
        <v>0.375</v>
      </c>
    </row>
    <row r="5" spans="1:2" x14ac:dyDescent="0.3">
      <c r="A5" s="6">
        <v>2.5</v>
      </c>
      <c r="B5">
        <v>0.359375</v>
      </c>
    </row>
    <row r="6" spans="1:2" x14ac:dyDescent="0.3">
      <c r="A6" s="6">
        <v>2.75</v>
      </c>
      <c r="B6">
        <v>0.375</v>
      </c>
    </row>
    <row r="7" spans="1:2" x14ac:dyDescent="0.3">
      <c r="A7" s="6">
        <v>3</v>
      </c>
      <c r="B7">
        <v>0.375</v>
      </c>
    </row>
    <row r="8" spans="1:2" x14ac:dyDescent="0.3">
      <c r="A8" s="6">
        <v>3.25</v>
      </c>
      <c r="B8">
        <v>0.375</v>
      </c>
    </row>
    <row r="9" spans="1:2" x14ac:dyDescent="0.3">
      <c r="A9" s="6">
        <v>3.5</v>
      </c>
      <c r="B9">
        <v>0.23529411764705882</v>
      </c>
    </row>
    <row r="10" spans="1:2" x14ac:dyDescent="0.3">
      <c r="A10" s="6">
        <v>3.75</v>
      </c>
      <c r="B10">
        <v>0.28125</v>
      </c>
    </row>
    <row r="11" spans="1:2" x14ac:dyDescent="0.3">
      <c r="A11" s="6">
        <v>4</v>
      </c>
      <c r="B11">
        <v>0.23529411764705882</v>
      </c>
    </row>
    <row r="12" spans="1:2" x14ac:dyDescent="0.3">
      <c r="A12" s="6">
        <v>4.25</v>
      </c>
      <c r="B12">
        <v>0.35</v>
      </c>
    </row>
    <row r="13" spans="1:2" x14ac:dyDescent="0.3">
      <c r="A13" s="6">
        <v>4.5</v>
      </c>
      <c r="B13">
        <v>0.1875</v>
      </c>
    </row>
    <row r="14" spans="1:2" x14ac:dyDescent="0.3">
      <c r="A14" s="6">
        <v>4.75</v>
      </c>
      <c r="B14">
        <v>0.20833333333333334</v>
      </c>
    </row>
    <row r="15" spans="1:2" x14ac:dyDescent="0.3">
      <c r="A15" s="6">
        <v>5</v>
      </c>
      <c r="B15">
        <v>0.5625</v>
      </c>
    </row>
    <row r="16" spans="1:2" x14ac:dyDescent="0.3">
      <c r="A16" s="6" t="s">
        <v>449</v>
      </c>
      <c r="B16">
        <v>0.3005050505050505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30648-13A9-4C3E-A34D-F9A098735083}">
  <dimension ref="A1:D16"/>
  <sheetViews>
    <sheetView workbookViewId="0">
      <selection activeCell="B5" sqref="B5"/>
    </sheetView>
  </sheetViews>
  <sheetFormatPr defaultRowHeight="14.4" x14ac:dyDescent="0.3"/>
  <cols>
    <col min="1" max="1" width="12.5546875" bestFit="1" customWidth="1"/>
    <col min="2" max="2" width="27.5546875" bestFit="1" customWidth="1"/>
    <col min="3" max="3" width="24" bestFit="1" customWidth="1"/>
  </cols>
  <sheetData>
    <row r="1" spans="1:4" x14ac:dyDescent="0.3">
      <c r="A1" s="5" t="s">
        <v>448</v>
      </c>
      <c r="B1" t="s">
        <v>461</v>
      </c>
    </row>
    <row r="2" spans="1:4" x14ac:dyDescent="0.3">
      <c r="A2" s="6">
        <v>1.75</v>
      </c>
      <c r="B2">
        <v>1</v>
      </c>
      <c r="D2" s="3"/>
    </row>
    <row r="3" spans="1:4" x14ac:dyDescent="0.3">
      <c r="A3" s="6">
        <v>2</v>
      </c>
      <c r="B3">
        <v>0.5</v>
      </c>
    </row>
    <row r="4" spans="1:4" x14ac:dyDescent="0.3">
      <c r="A4" s="6">
        <v>2.25</v>
      </c>
      <c r="B4">
        <v>1.5</v>
      </c>
    </row>
    <row r="5" spans="1:4" x14ac:dyDescent="0.3">
      <c r="A5" s="6">
        <v>2.5</v>
      </c>
      <c r="B5">
        <v>1</v>
      </c>
    </row>
    <row r="6" spans="1:4" x14ac:dyDescent="0.3">
      <c r="A6" s="6">
        <v>2.75</v>
      </c>
      <c r="B6">
        <v>1.6</v>
      </c>
    </row>
    <row r="7" spans="1:4" x14ac:dyDescent="0.3">
      <c r="A7" s="6">
        <v>3</v>
      </c>
      <c r="B7">
        <v>0.83333333333333337</v>
      </c>
    </row>
    <row r="8" spans="1:4" x14ac:dyDescent="0.3">
      <c r="A8" s="6">
        <v>3.25</v>
      </c>
      <c r="B8">
        <v>1.5</v>
      </c>
    </row>
    <row r="9" spans="1:4" x14ac:dyDescent="0.3">
      <c r="A9" s="6">
        <v>3.5</v>
      </c>
      <c r="B9">
        <v>1.1666666666666667</v>
      </c>
    </row>
    <row r="10" spans="1:4" x14ac:dyDescent="0.3">
      <c r="A10" s="6">
        <v>3.75</v>
      </c>
      <c r="B10">
        <v>1</v>
      </c>
    </row>
    <row r="11" spans="1:4" x14ac:dyDescent="0.3">
      <c r="A11" s="6">
        <v>4</v>
      </c>
      <c r="B11">
        <v>1.1875</v>
      </c>
    </row>
    <row r="12" spans="1:4" x14ac:dyDescent="0.3">
      <c r="A12" s="6">
        <v>4.25</v>
      </c>
      <c r="B12">
        <v>0.76923076923076927</v>
      </c>
    </row>
    <row r="13" spans="1:4" x14ac:dyDescent="0.3">
      <c r="A13" s="6">
        <v>4.5</v>
      </c>
      <c r="B13">
        <v>0.6</v>
      </c>
    </row>
    <row r="14" spans="1:4" x14ac:dyDescent="0.3">
      <c r="A14" s="6">
        <v>4.75</v>
      </c>
      <c r="B14">
        <v>0.6</v>
      </c>
    </row>
    <row r="15" spans="1:4" x14ac:dyDescent="0.3">
      <c r="A15" s="6">
        <v>5</v>
      </c>
      <c r="B15">
        <v>0.5</v>
      </c>
    </row>
    <row r="16" spans="1:4" x14ac:dyDescent="0.3">
      <c r="A16" s="6" t="s">
        <v>449</v>
      </c>
      <c r="B16">
        <v>0.9494949494949495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5CE3C-CF1F-40C7-84FC-E95AB760C34D}">
  <dimension ref="A1:B16"/>
  <sheetViews>
    <sheetView workbookViewId="0">
      <selection activeCell="K10" sqref="K10"/>
    </sheetView>
  </sheetViews>
  <sheetFormatPr defaultRowHeight="14.4" x14ac:dyDescent="0.3"/>
  <cols>
    <col min="1" max="1" width="12.5546875" bestFit="1" customWidth="1"/>
    <col min="2" max="2" width="23.21875" bestFit="1" customWidth="1"/>
  </cols>
  <sheetData>
    <row r="1" spans="1:2" x14ac:dyDescent="0.3">
      <c r="A1" s="5" t="s">
        <v>448</v>
      </c>
      <c r="B1" t="s">
        <v>462</v>
      </c>
    </row>
    <row r="2" spans="1:2" x14ac:dyDescent="0.3">
      <c r="A2" s="6">
        <v>1.75</v>
      </c>
      <c r="B2">
        <v>0.2</v>
      </c>
    </row>
    <row r="3" spans="1:2" x14ac:dyDescent="0.3">
      <c r="A3" s="6">
        <v>2</v>
      </c>
      <c r="B3">
        <v>0.4</v>
      </c>
    </row>
    <row r="4" spans="1:2" x14ac:dyDescent="0.3">
      <c r="A4" s="6">
        <v>2.25</v>
      </c>
      <c r="B4">
        <v>0.4</v>
      </c>
    </row>
    <row r="5" spans="1:2" x14ac:dyDescent="0.3">
      <c r="A5" s="6">
        <v>2.5</v>
      </c>
      <c r="B5">
        <v>0.2</v>
      </c>
    </row>
    <row r="6" spans="1:2" x14ac:dyDescent="0.3">
      <c r="A6" s="6">
        <v>2.75</v>
      </c>
      <c r="B6">
        <v>0.4</v>
      </c>
    </row>
    <row r="7" spans="1:2" x14ac:dyDescent="0.3">
      <c r="A7" s="6">
        <v>3</v>
      </c>
      <c r="B7">
        <v>1.2</v>
      </c>
    </row>
    <row r="8" spans="1:2" x14ac:dyDescent="0.3">
      <c r="A8" s="6">
        <v>3.25</v>
      </c>
      <c r="B8">
        <v>1.8</v>
      </c>
    </row>
    <row r="9" spans="1:2" x14ac:dyDescent="0.3">
      <c r="A9" s="6">
        <v>3.5</v>
      </c>
      <c r="B9">
        <v>1</v>
      </c>
    </row>
    <row r="10" spans="1:2" x14ac:dyDescent="0.3">
      <c r="A10" s="6">
        <v>3.75</v>
      </c>
      <c r="B10">
        <v>4</v>
      </c>
    </row>
    <row r="11" spans="1:2" x14ac:dyDescent="0.3">
      <c r="A11" s="6">
        <v>4</v>
      </c>
      <c r="B11">
        <v>3.0000000000000004</v>
      </c>
    </row>
    <row r="12" spans="1:2" x14ac:dyDescent="0.3">
      <c r="A12" s="6">
        <v>4.25</v>
      </c>
      <c r="B12">
        <v>3</v>
      </c>
    </row>
    <row r="13" spans="1:2" x14ac:dyDescent="0.3">
      <c r="A13" s="6">
        <v>4.5</v>
      </c>
      <c r="B13">
        <v>1.4000000000000001</v>
      </c>
    </row>
    <row r="14" spans="1:2" x14ac:dyDescent="0.3">
      <c r="A14" s="6">
        <v>4.75</v>
      </c>
      <c r="B14">
        <v>0.60000000000000009</v>
      </c>
    </row>
    <row r="15" spans="1:2" x14ac:dyDescent="0.3">
      <c r="A15" s="6">
        <v>5</v>
      </c>
      <c r="B15">
        <v>0.60000000000000009</v>
      </c>
    </row>
    <row r="16" spans="1:2" x14ac:dyDescent="0.3">
      <c r="A16" s="6" t="s">
        <v>449</v>
      </c>
      <c r="B16">
        <v>18.200000000000003</v>
      </c>
    </row>
  </sheetData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642FD-303C-4260-B155-510A72A91D66}">
  <dimension ref="A1:C18"/>
  <sheetViews>
    <sheetView zoomScale="80" zoomScaleNormal="80" workbookViewId="0">
      <selection activeCell="C2" sqref="C2"/>
    </sheetView>
  </sheetViews>
  <sheetFormatPr defaultRowHeight="14.4" x14ac:dyDescent="0.3"/>
  <cols>
    <col min="1" max="1" width="12.5546875" bestFit="1" customWidth="1"/>
    <col min="2" max="2" width="23.109375" bestFit="1" customWidth="1"/>
    <col min="3" max="3" width="24.44140625" bestFit="1" customWidth="1"/>
  </cols>
  <sheetData>
    <row r="1" spans="1:3" x14ac:dyDescent="0.3">
      <c r="A1" s="5" t="s">
        <v>448</v>
      </c>
      <c r="B1" t="s">
        <v>452</v>
      </c>
      <c r="C1" t="s">
        <v>454</v>
      </c>
    </row>
    <row r="2" spans="1:3" x14ac:dyDescent="0.3">
      <c r="A2" s="6">
        <v>1</v>
      </c>
      <c r="B2">
        <v>2.2000000000000002</v>
      </c>
      <c r="C2">
        <v>2.2000000000000002</v>
      </c>
    </row>
    <row r="3" spans="1:3" x14ac:dyDescent="0.3">
      <c r="A3" s="6">
        <v>1.25</v>
      </c>
      <c r="B3">
        <v>1</v>
      </c>
      <c r="C3">
        <v>1</v>
      </c>
    </row>
    <row r="4" spans="1:3" x14ac:dyDescent="0.3">
      <c r="A4" s="6">
        <v>1.5</v>
      </c>
      <c r="B4">
        <v>1.6</v>
      </c>
      <c r="C4">
        <v>1.8</v>
      </c>
    </row>
    <row r="5" spans="1:3" x14ac:dyDescent="0.3">
      <c r="A5" s="6">
        <v>1.75</v>
      </c>
      <c r="B5">
        <v>1.25</v>
      </c>
      <c r="C5">
        <v>1.25</v>
      </c>
    </row>
    <row r="6" spans="1:3" x14ac:dyDescent="0.3">
      <c r="A6" s="6">
        <v>2</v>
      </c>
      <c r="B6">
        <v>0.53846153846153844</v>
      </c>
      <c r="C6">
        <v>0.53846153846153844</v>
      </c>
    </row>
    <row r="7" spans="1:3" x14ac:dyDescent="0.3">
      <c r="A7" s="6">
        <v>2.25</v>
      </c>
      <c r="B7">
        <v>0.92307692307692313</v>
      </c>
      <c r="C7">
        <v>1</v>
      </c>
    </row>
    <row r="8" spans="1:3" x14ac:dyDescent="0.3">
      <c r="A8" s="6">
        <v>2.5</v>
      </c>
      <c r="B8">
        <v>1</v>
      </c>
      <c r="C8">
        <v>1.2</v>
      </c>
    </row>
    <row r="9" spans="1:3" x14ac:dyDescent="0.3">
      <c r="A9" s="6">
        <v>2.75</v>
      </c>
      <c r="B9">
        <v>1</v>
      </c>
      <c r="C9">
        <v>1</v>
      </c>
    </row>
    <row r="10" spans="1:3" x14ac:dyDescent="0.3">
      <c r="A10" s="6">
        <v>3</v>
      </c>
      <c r="B10">
        <v>1</v>
      </c>
      <c r="C10">
        <v>1</v>
      </c>
    </row>
    <row r="11" spans="1:3" x14ac:dyDescent="0.3">
      <c r="A11" s="6">
        <v>3.25</v>
      </c>
      <c r="B11">
        <v>0.5</v>
      </c>
      <c r="C11">
        <v>1.5</v>
      </c>
    </row>
    <row r="12" spans="1:3" x14ac:dyDescent="0.3">
      <c r="A12" s="6">
        <v>3.5</v>
      </c>
      <c r="B12">
        <v>0.75</v>
      </c>
      <c r="C12">
        <v>0.75</v>
      </c>
    </row>
    <row r="13" spans="1:3" x14ac:dyDescent="0.3">
      <c r="A13" s="6">
        <v>3.75</v>
      </c>
      <c r="B13">
        <v>1</v>
      </c>
      <c r="C13">
        <v>1.25</v>
      </c>
    </row>
    <row r="14" spans="1:3" x14ac:dyDescent="0.3">
      <c r="A14" s="6">
        <v>4</v>
      </c>
      <c r="B14">
        <v>0.2</v>
      </c>
      <c r="C14">
        <v>0.3</v>
      </c>
    </row>
    <row r="15" spans="1:3" x14ac:dyDescent="0.3">
      <c r="A15" s="6">
        <v>4.25</v>
      </c>
      <c r="B15">
        <v>0.83333333333333337</v>
      </c>
      <c r="C15">
        <v>0.83333333333333337</v>
      </c>
    </row>
    <row r="16" spans="1:3" x14ac:dyDescent="0.3">
      <c r="A16" s="6">
        <v>4.5</v>
      </c>
      <c r="B16">
        <v>0.6</v>
      </c>
      <c r="C16">
        <v>0.8</v>
      </c>
    </row>
    <row r="17" spans="1:3" x14ac:dyDescent="0.3">
      <c r="A17" s="6">
        <v>4.75</v>
      </c>
      <c r="B17">
        <v>0</v>
      </c>
      <c r="C17">
        <v>0</v>
      </c>
    </row>
    <row r="18" spans="1:3" x14ac:dyDescent="0.3">
      <c r="A18" s="6" t="s">
        <v>449</v>
      </c>
      <c r="B18">
        <v>0.89</v>
      </c>
      <c r="C18">
        <v>0.99</v>
      </c>
    </row>
  </sheetData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1A378-7149-494F-9A9D-50B2F94655E0}">
  <dimension ref="A1:B17"/>
  <sheetViews>
    <sheetView workbookViewId="0">
      <selection activeCell="N10" sqref="N10"/>
    </sheetView>
  </sheetViews>
  <sheetFormatPr defaultRowHeight="14.4" x14ac:dyDescent="0.3"/>
  <cols>
    <col min="1" max="1" width="12.5546875" bestFit="1" customWidth="1"/>
    <col min="2" max="2" width="23.109375" bestFit="1" customWidth="1"/>
  </cols>
  <sheetData>
    <row r="1" spans="1:2" x14ac:dyDescent="0.3">
      <c r="A1" s="5" t="s">
        <v>448</v>
      </c>
      <c r="B1" t="s">
        <v>452</v>
      </c>
    </row>
    <row r="2" spans="1:2" x14ac:dyDescent="0.3">
      <c r="A2" s="6">
        <v>1.25</v>
      </c>
      <c r="B2">
        <v>2</v>
      </c>
    </row>
    <row r="3" spans="1:2" x14ac:dyDescent="0.3">
      <c r="A3" s="6">
        <v>1.5</v>
      </c>
      <c r="B3">
        <v>0</v>
      </c>
    </row>
    <row r="4" spans="1:2" x14ac:dyDescent="0.3">
      <c r="A4" s="6">
        <v>1.75</v>
      </c>
      <c r="B4">
        <v>0</v>
      </c>
    </row>
    <row r="5" spans="1:2" x14ac:dyDescent="0.3">
      <c r="A5" s="6">
        <v>2.25</v>
      </c>
      <c r="B5">
        <v>0</v>
      </c>
    </row>
    <row r="6" spans="1:2" x14ac:dyDescent="0.3">
      <c r="A6" s="6">
        <v>2.5</v>
      </c>
      <c r="B6">
        <v>0.6</v>
      </c>
    </row>
    <row r="7" spans="1:2" x14ac:dyDescent="0.3">
      <c r="A7" s="6">
        <v>2.75</v>
      </c>
      <c r="B7">
        <v>0.6</v>
      </c>
    </row>
    <row r="8" spans="1:2" x14ac:dyDescent="0.3">
      <c r="A8" s="6">
        <v>3</v>
      </c>
      <c r="B8">
        <v>0.58333333333333337</v>
      </c>
    </row>
    <row r="9" spans="1:2" x14ac:dyDescent="0.3">
      <c r="A9" s="6">
        <v>3.25</v>
      </c>
      <c r="B9">
        <v>0.8</v>
      </c>
    </row>
    <row r="10" spans="1:2" x14ac:dyDescent="0.3">
      <c r="A10" s="6">
        <v>3.5</v>
      </c>
      <c r="B10">
        <v>1.1428571428571428</v>
      </c>
    </row>
    <row r="11" spans="1:2" x14ac:dyDescent="0.3">
      <c r="A11" s="6">
        <v>3.75</v>
      </c>
      <c r="B11">
        <v>0.76923076923076927</v>
      </c>
    </row>
    <row r="12" spans="1:2" x14ac:dyDescent="0.3">
      <c r="A12" s="6">
        <v>4</v>
      </c>
      <c r="B12">
        <v>0.875</v>
      </c>
    </row>
    <row r="13" spans="1:2" x14ac:dyDescent="0.3">
      <c r="A13" s="6">
        <v>4.25</v>
      </c>
      <c r="B13">
        <v>1.0909090909090908</v>
      </c>
    </row>
    <row r="14" spans="1:2" x14ac:dyDescent="0.3">
      <c r="A14" s="6">
        <v>4.5</v>
      </c>
      <c r="B14">
        <v>1.2857142857142858</v>
      </c>
    </row>
    <row r="15" spans="1:2" x14ac:dyDescent="0.3">
      <c r="A15" s="6">
        <v>4.75</v>
      </c>
      <c r="B15">
        <v>1</v>
      </c>
    </row>
    <row r="16" spans="1:2" x14ac:dyDescent="0.3">
      <c r="A16" s="6">
        <v>5</v>
      </c>
      <c r="B16">
        <v>3</v>
      </c>
    </row>
    <row r="17" spans="1:2" x14ac:dyDescent="0.3">
      <c r="A17" s="6" t="s">
        <v>449</v>
      </c>
      <c r="B17">
        <v>0.89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Dataset-PT</vt:lpstr>
      <vt:lpstr>WW-Time</vt:lpstr>
      <vt:lpstr>WW-HardPathsC6</vt:lpstr>
      <vt:lpstr>WW-HardPathsN2</vt:lpstr>
      <vt:lpstr>WW-HardPathA5</vt:lpstr>
      <vt:lpstr>WW-GaveUpHardPath</vt:lpstr>
      <vt:lpstr>WW-traps</vt:lpstr>
      <vt:lpstr>TT-Anger</vt:lpstr>
      <vt:lpstr>TT-Friendliness</vt:lpstr>
      <vt:lpstr>TT-Excitement seeking</vt:lpstr>
      <vt:lpstr>TT-Cheerfulness</vt:lpstr>
      <vt:lpstr>TT-Adventurouness</vt:lpstr>
      <vt:lpstr>TT-Achievement striving</vt:lpstr>
      <vt:lpstr>TT-2attempts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Patrícia Alves</dc:creator>
  <cp:lastModifiedBy>Patrícia Alves</cp:lastModifiedBy>
  <dcterms:created xsi:type="dcterms:W3CDTF">2024-01-12T16:31:30Z</dcterms:created>
  <dcterms:modified xsi:type="dcterms:W3CDTF">2024-03-19T16:47:00Z</dcterms:modified>
</cp:coreProperties>
</file>